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895" activeTab="7"/>
  </bookViews>
  <sheets>
    <sheet name="kiad1" sheetId="1" r:id="rId1"/>
    <sheet name="kiad2" sheetId="2" r:id="rId2"/>
    <sheet name="kiad3" sheetId="3" r:id="rId3"/>
    <sheet name="kiad4" sheetId="4" r:id="rId4"/>
    <sheet name="kiad5" sheetId="5" r:id="rId5"/>
    <sheet name="kiad6" sheetId="6" r:id="rId6"/>
    <sheet name="kiad7" sheetId="7" r:id="rId7"/>
    <sheet name="kiad8" sheetId="8" r:id="rId8"/>
  </sheets>
  <definedNames>
    <definedName name="_xlnm.Print_Area" localSheetId="2">'kiad3'!$A$1:$M$31</definedName>
    <definedName name="_xlnm.Print_Area" localSheetId="4">'kiad5'!$A$1:$M$39</definedName>
    <definedName name="_xlnm.Print_Area" localSheetId="6">'kiad7'!$A$1:$M$36</definedName>
  </definedNames>
  <calcPr fullCalcOnLoad="1"/>
</workbook>
</file>

<file path=xl/sharedStrings.xml><?xml version="1.0" encoding="utf-8"?>
<sst xmlns="http://schemas.openxmlformats.org/spreadsheetml/2006/main" count="379" uniqueCount="139">
  <si>
    <t>IV. tábla</t>
  </si>
  <si>
    <t>Kiadások részletezése intézményenként, szakfeladatonként</t>
  </si>
  <si>
    <t>ezer Ft-ban</t>
  </si>
  <si>
    <t>Személyi juttatás</t>
  </si>
  <si>
    <t>Munkaadót terhelő járulék</t>
  </si>
  <si>
    <t>SZAKFELADATOK</t>
  </si>
  <si>
    <t xml:space="preserve">Eredeti </t>
  </si>
  <si>
    <t>előirányzat</t>
  </si>
  <si>
    <t xml:space="preserve">Módosított előirányzat </t>
  </si>
  <si>
    <t>Teljesítés</t>
  </si>
  <si>
    <t xml:space="preserve"> %-a</t>
  </si>
  <si>
    <t>Módosított</t>
  </si>
  <si>
    <t>%-a</t>
  </si>
  <si>
    <t>I. ÖNKORMÁNYZAT HIVATALA</t>
  </si>
  <si>
    <t>II. ÖNKORMÁNYZATI SZAKFEL.</t>
  </si>
  <si>
    <t>Dologi és egyéb folyó kiadás</t>
  </si>
  <si>
    <t>Összesen</t>
  </si>
  <si>
    <t xml:space="preserve">Módos. </t>
  </si>
  <si>
    <t>Telj.  %-a</t>
  </si>
  <si>
    <t>Módos. előirányz.</t>
  </si>
  <si>
    <t>Telj. %-a</t>
  </si>
  <si>
    <t>Eredeti előirányz.</t>
  </si>
  <si>
    <t>előirányz.</t>
  </si>
  <si>
    <t>II. ÖNKORMÁNYZATI SZAKF.</t>
  </si>
  <si>
    <t xml:space="preserve">             ezer Ft-ban</t>
  </si>
  <si>
    <t xml:space="preserve">        Intézményi étkeztetés</t>
  </si>
  <si>
    <t xml:space="preserve">        Kollégiumi étkeztetés</t>
  </si>
  <si>
    <t xml:space="preserve">        Települési hulladék kezelés</t>
  </si>
  <si>
    <t xml:space="preserve">        Családi ünnepek szervezése</t>
  </si>
  <si>
    <t>III. SZLOVÁK ÖNKORMÁNYZ.</t>
  </si>
  <si>
    <t xml:space="preserve">        Igazgatási tevékenység</t>
  </si>
  <si>
    <t xml:space="preserve">        Múzeumok</t>
  </si>
  <si>
    <t xml:space="preserve">       Szlovák Önkormányzat  Össz.</t>
  </si>
  <si>
    <t xml:space="preserve">        Átm. elh. bizt. ell. ( Idősek Háza)</t>
  </si>
  <si>
    <t xml:space="preserve">        Házi segítségnyújtás</t>
  </si>
  <si>
    <t xml:space="preserve">        Családsegítés</t>
  </si>
  <si>
    <t xml:space="preserve">        Nappali szoc. ellátás (Idősek Klubja)</t>
  </si>
  <si>
    <t xml:space="preserve">        Szociális étkeztetés</t>
  </si>
  <si>
    <t xml:space="preserve">       Szoc. Szolg. Központ Összesen</t>
  </si>
  <si>
    <t xml:space="preserve">       Könyvtári tevékenység</t>
  </si>
  <si>
    <t xml:space="preserve">        Alapfokú művészet oktatás</t>
  </si>
  <si>
    <t xml:space="preserve">        Iskolai oktatás</t>
  </si>
  <si>
    <t xml:space="preserve">        Napközi</t>
  </si>
  <si>
    <t xml:space="preserve">        Szlovák Iskola Összesen</t>
  </si>
  <si>
    <t xml:space="preserve">        Óvodai nevelés</t>
  </si>
  <si>
    <t xml:space="preserve">        Diákotthon</t>
  </si>
  <si>
    <t xml:space="preserve">        Rendszeres szociális pénzbeli ellátások</t>
  </si>
  <si>
    <t xml:space="preserve">        Esesti pénzbeli szociális ellátás</t>
  </si>
  <si>
    <t xml:space="preserve">        Eseti pénzbeli gyermekvédelmi ellátások</t>
  </si>
  <si>
    <t xml:space="preserve">        Csapadékvíz elvezetés</t>
  </si>
  <si>
    <t>III.  SZLOVÁK ÖNKORMÁNYZAT</t>
  </si>
  <si>
    <t xml:space="preserve">        Szlovák Önkormányzat Összesen</t>
  </si>
  <si>
    <t xml:space="preserve">       Szlovák Két Tanítási Nyelvű Ált. Isk. és </t>
  </si>
  <si>
    <t xml:space="preserve">       Óvoda Összesen</t>
  </si>
  <si>
    <t xml:space="preserve">        Védőnők</t>
  </si>
  <si>
    <t xml:space="preserve">        Iskola egészségügyi ellátás</t>
  </si>
  <si>
    <t xml:space="preserve">        Sajátos Nevelési Igényű Óvodai Nevelés</t>
  </si>
  <si>
    <t xml:space="preserve">        Nappali rendszerű ált. isk. oktatás</t>
  </si>
  <si>
    <t xml:space="preserve">        Nappali rendszerű gimnáziumi oktatás</t>
  </si>
  <si>
    <t xml:space="preserve">        Sajátos nevelési igényű gimn. tanulók okt.</t>
  </si>
  <si>
    <t xml:space="preserve">        J.J. Ált Isk. és Gimn. Összesen</t>
  </si>
  <si>
    <t xml:space="preserve">        Városi Kulturális és Sporttevékenység</t>
  </si>
  <si>
    <t>IV.tábla</t>
  </si>
  <si>
    <t xml:space="preserve">Beruházás, pü-i befekt., felújítások </t>
  </si>
  <si>
    <t>Pénzeszköz átad. Egyéb kiadás</t>
  </si>
  <si>
    <t>Dologi és e.f. kiadások</t>
  </si>
  <si>
    <t>Beruházások, pü-i bef., felújítások</t>
  </si>
  <si>
    <t xml:space="preserve">        Munkanélküli ellátás</t>
  </si>
  <si>
    <t>Dologi és e.f kiadások</t>
  </si>
  <si>
    <t>Óvoda összesen</t>
  </si>
  <si>
    <t xml:space="preserve">Beruházások, pü.i bef., felújítások </t>
  </si>
  <si>
    <t>VI. MŰVELŐDÉSI KÖZPONT</t>
  </si>
  <si>
    <t xml:space="preserve">       Művelődési központ tevékenysége</t>
  </si>
  <si>
    <t>Művelődési Központ összesen</t>
  </si>
  <si>
    <t>IX. J. J. ÁLT. ISKOLA ÉS GIMN.</t>
  </si>
  <si>
    <t xml:space="preserve">X. Állati Hulladékkezelési Társulás </t>
  </si>
  <si>
    <t xml:space="preserve">        Gimnáziumi felnőtt oktatás </t>
  </si>
  <si>
    <t xml:space="preserve">        Iskolai napközi</t>
  </si>
  <si>
    <t xml:space="preserve"> Szlovák Két Tanítási Nyelvű Ált. Isk. és  Óvoda Összesen</t>
  </si>
  <si>
    <t xml:space="preserve">Beruházások, pü-i befekt.  Felújítások </t>
  </si>
  <si>
    <t>Pénzeszköz átadás, egyéb kiadás</t>
  </si>
  <si>
    <t>X. Állati Hulladékkezelési Társulás</t>
  </si>
  <si>
    <t xml:space="preserve">        Óvoda összesen</t>
  </si>
  <si>
    <t xml:space="preserve"> Önkormányzati és Körzeti Igazgatás Ford</t>
  </si>
  <si>
    <t xml:space="preserve">  Önkormányzati igazgatás Összesen</t>
  </si>
  <si>
    <t>Kisegítő mg-i szolg. (park)</t>
  </si>
  <si>
    <t>Ingatlangazdálkodás</t>
  </si>
  <si>
    <t>Település vízellátás</t>
  </si>
  <si>
    <t>Közvilágítási feladatok</t>
  </si>
  <si>
    <t xml:space="preserve">Háziorvosi szolgálat </t>
  </si>
  <si>
    <r>
      <t xml:space="preserve">        </t>
    </r>
    <r>
      <rPr>
        <b/>
        <sz val="12"/>
        <rFont val="Times New Roman"/>
        <family val="1"/>
      </rPr>
      <t xml:space="preserve">Óvoda </t>
    </r>
  </si>
  <si>
    <t xml:space="preserve">        Óvoda</t>
  </si>
  <si>
    <t xml:space="preserve">       Művelődési Központ összesen</t>
  </si>
  <si>
    <t>Gazdaság-és területfejlesztési feladatok (ROP)</t>
  </si>
  <si>
    <t xml:space="preserve">Labor </t>
  </si>
  <si>
    <t xml:space="preserve">Egészségügyi ellátás egyéb feladatai </t>
  </si>
  <si>
    <t>IV. CIGÁNY KISEBBS. ÖNKORMÁNYZ.</t>
  </si>
  <si>
    <t xml:space="preserve">       Cigány Kisebbs. Önkormányzat  Össz.</t>
  </si>
  <si>
    <t>V. SZOCIÁLIS SZOLGÁLTATÓ KÖZPONT</t>
  </si>
  <si>
    <t xml:space="preserve">V. SZOCIÁLIS SZOLGÁLTATÓ KÖZPONT  </t>
  </si>
  <si>
    <t xml:space="preserve">        Tanyagondnoki szolgálat </t>
  </si>
  <si>
    <t xml:space="preserve">        Bölcsőde </t>
  </si>
  <si>
    <t xml:space="preserve">        HEFOP pályázat </t>
  </si>
  <si>
    <t xml:space="preserve">VI. SZLOVÁK KÉT TANÍTÁSI NYELVŰ      ÁLT. ISKOLA ÉS ÓVODA </t>
  </si>
  <si>
    <t xml:space="preserve">VI. SZLOVÁK KÉT TANÍTÁSI NYELVŰ ÁLT. ISKOLA ÉS ÓVODA </t>
  </si>
  <si>
    <t>VII. MŰVELŐDÉSI KÖZPONT</t>
  </si>
  <si>
    <t xml:space="preserve">       Városi televíziós rendszer üzemeltetése </t>
  </si>
  <si>
    <t xml:space="preserve">       Lapkiadás </t>
  </si>
  <si>
    <t xml:space="preserve">        HEFOP pályázat</t>
  </si>
  <si>
    <t xml:space="preserve">IV. tábla </t>
  </si>
  <si>
    <t xml:space="preserve"> Képviselői juttatás</t>
  </si>
  <si>
    <t>Önkormányzati és Körzeti  igazgatás</t>
  </si>
  <si>
    <t>Képviselői juttatás</t>
  </si>
  <si>
    <t xml:space="preserve">        Egyéb szociális és gyermekjóléti </t>
  </si>
  <si>
    <t xml:space="preserve"> </t>
  </si>
  <si>
    <t xml:space="preserve">        Sajátos Nevelési Igényű Ált.Isk.okt. </t>
  </si>
  <si>
    <t>Önkormányzati szakfeladatok összesen</t>
  </si>
  <si>
    <t>Önkormányzati szakfeladatok Összesen</t>
  </si>
  <si>
    <t>VII. Alapfokú Művészetoktatási Intézmény</t>
  </si>
  <si>
    <t>Alapfokú Művészetoktatási Int. összesen</t>
  </si>
  <si>
    <t>KIADÁS ÖSSZESEN</t>
  </si>
  <si>
    <t>2008. I. félév</t>
  </si>
  <si>
    <t xml:space="preserve">2008. I. félévi </t>
  </si>
  <si>
    <t xml:space="preserve">                                                                                                                       2008. I. félév</t>
  </si>
  <si>
    <t>Önkormányzati igazg. Össz.</t>
  </si>
  <si>
    <t xml:space="preserve">        Polgármesteri Hivatal Múzeum</t>
  </si>
  <si>
    <t xml:space="preserve">        Működési hitel visszafizetés</t>
  </si>
  <si>
    <t xml:space="preserve">        Felhalm. hitel visszafizetés (Fürdő, gépk.)</t>
  </si>
  <si>
    <t xml:space="preserve">        Szociális foglalkoztatás</t>
  </si>
  <si>
    <t xml:space="preserve">       Szociális Foglalkoztatás</t>
  </si>
  <si>
    <t xml:space="preserve">        Sajátos nev. igényű ált. isk.okt.</t>
  </si>
  <si>
    <t>Nagylak-Tk. CBC projekt</t>
  </si>
  <si>
    <t>Közutak, hidak üzemelt., fenntartása</t>
  </si>
  <si>
    <t>Közutak, hidak létesítése, felújítása</t>
  </si>
  <si>
    <t>XI. Előző évi pénzmaradvány átadás</t>
  </si>
  <si>
    <t>XII.Függő, átfutó, kiegyenlítő kiadás</t>
  </si>
  <si>
    <t>XII. Függő, átfutó, kiegyenlítő kiadás</t>
  </si>
  <si>
    <t>Kiadások részletezése intézményenként, címenként, szakfeladatonként</t>
  </si>
  <si>
    <t>Országgyűlési képviselő választás (népszavaz.)</t>
  </si>
</sst>
</file>

<file path=xl/styles.xml><?xml version="1.0" encoding="utf-8"?>
<styleSheet xmlns="http://schemas.openxmlformats.org/spreadsheetml/2006/main">
  <numFmts count="3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0_ ;\-0\ "/>
    <numFmt numFmtId="176" formatCode="#,##0_ ;\-#,##0\ "/>
    <numFmt numFmtId="177" formatCode="#,##0;[Red]#,##0"/>
    <numFmt numFmtId="178" formatCode="0.000000"/>
    <numFmt numFmtId="179" formatCode="0.00000"/>
    <numFmt numFmtId="180" formatCode="0.0000"/>
    <numFmt numFmtId="181" formatCode="0.000"/>
    <numFmt numFmtId="182" formatCode="#,##0.0;[Red]#,##0.0"/>
    <numFmt numFmtId="183" formatCode="#,##0.00;[Red]#,##0.00"/>
    <numFmt numFmtId="184" formatCode="#,##0.0"/>
    <numFmt numFmtId="185" formatCode="#,##0.000"/>
  </numFmts>
  <fonts count="18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sz val="12"/>
      <name val="Times New Roman"/>
      <family val="1"/>
    </font>
    <font>
      <b/>
      <sz val="10"/>
      <name val="Arial"/>
      <family val="0"/>
    </font>
    <font>
      <b/>
      <sz val="12"/>
      <name val="Arial"/>
      <family val="0"/>
    </font>
    <font>
      <sz val="11"/>
      <name val="Arial"/>
      <family val="0"/>
    </font>
    <font>
      <i/>
      <sz val="12"/>
      <name val="Times New Roman"/>
      <family val="1"/>
    </font>
    <font>
      <i/>
      <sz val="12"/>
      <name val="Arial"/>
      <family val="0"/>
    </font>
    <font>
      <b/>
      <sz val="10"/>
      <name val="Times New Roman"/>
      <family val="1"/>
    </font>
    <font>
      <b/>
      <sz val="11"/>
      <name val="Arial"/>
      <family val="0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3" fontId="6" fillId="0" borderId="1" xfId="0" applyNumberFormat="1" applyFont="1" applyBorder="1" applyAlignment="1">
      <alignment horizontal="right" vertical="top" wrapText="1"/>
    </xf>
    <xf numFmtId="2" fontId="6" fillId="0" borderId="1" xfId="0" applyNumberFormat="1" applyFont="1" applyBorder="1" applyAlignment="1">
      <alignment horizontal="right" vertical="top" wrapText="1"/>
    </xf>
    <xf numFmtId="3" fontId="6" fillId="0" borderId="1" xfId="0" applyNumberFormat="1" applyFont="1" applyBorder="1" applyAlignment="1">
      <alignment horizontal="center" vertical="top" wrapText="1"/>
    </xf>
    <xf numFmtId="2" fontId="6" fillId="0" borderId="1" xfId="0" applyNumberFormat="1" applyFont="1" applyBorder="1" applyAlignment="1">
      <alignment horizontal="center" vertical="top" wrapText="1"/>
    </xf>
    <xf numFmtId="3" fontId="4" fillId="0" borderId="1" xfId="0" applyNumberFormat="1" applyFont="1" applyBorder="1" applyAlignment="1">
      <alignment horizontal="right" vertical="top" wrapText="1"/>
    </xf>
    <xf numFmtId="2" fontId="4" fillId="0" borderId="1" xfId="0" applyNumberFormat="1" applyFont="1" applyBorder="1" applyAlignment="1">
      <alignment horizontal="right" vertical="top" wrapText="1"/>
    </xf>
    <xf numFmtId="3" fontId="6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right" vertical="center" wrapText="1"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3" fontId="6" fillId="0" borderId="1" xfId="0" applyNumberFormat="1" applyFont="1" applyBorder="1" applyAlignment="1">
      <alignment vertical="top" wrapText="1"/>
    </xf>
    <xf numFmtId="2" fontId="6" fillId="0" borderId="1" xfId="0" applyNumberFormat="1" applyFont="1" applyBorder="1" applyAlignment="1">
      <alignment vertical="top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3" fontId="10" fillId="0" borderId="1" xfId="0" applyNumberFormat="1" applyFont="1" applyBorder="1" applyAlignment="1">
      <alignment horizontal="right" vertical="top" wrapText="1"/>
    </xf>
    <xf numFmtId="0" fontId="11" fillId="0" borderId="0" xfId="0" applyFont="1" applyAlignment="1">
      <alignment/>
    </xf>
    <xf numFmtId="2" fontId="10" fillId="0" borderId="1" xfId="0" applyNumberFormat="1" applyFont="1" applyBorder="1" applyAlignment="1">
      <alignment horizontal="right" vertical="top" wrapText="1"/>
    </xf>
    <xf numFmtId="0" fontId="0" fillId="0" borderId="0" xfId="0" applyAlignment="1">
      <alignment shrinkToFit="1"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3" fontId="6" fillId="0" borderId="1" xfId="0" applyNumberFormat="1" applyFont="1" applyBorder="1" applyAlignment="1">
      <alignment/>
    </xf>
    <xf numFmtId="4" fontId="6" fillId="0" borderId="1" xfId="0" applyNumberFormat="1" applyFont="1" applyBorder="1" applyAlignment="1">
      <alignment vertical="top" wrapText="1"/>
    </xf>
    <xf numFmtId="4" fontId="6" fillId="0" borderId="1" xfId="0" applyNumberFormat="1" applyFont="1" applyBorder="1" applyAlignment="1">
      <alignment horizontal="center" vertical="top" wrapText="1"/>
    </xf>
    <xf numFmtId="0" fontId="12" fillId="0" borderId="0" xfId="0" applyFont="1" applyAlignment="1">
      <alignment/>
    </xf>
    <xf numFmtId="4" fontId="6" fillId="0" borderId="1" xfId="0" applyNumberFormat="1" applyFont="1" applyBorder="1" applyAlignment="1">
      <alignment horizontal="right" vertical="top" wrapText="1"/>
    </xf>
    <xf numFmtId="4" fontId="4" fillId="0" borderId="1" xfId="0" applyNumberFormat="1" applyFont="1" applyBorder="1" applyAlignment="1">
      <alignment horizontal="right" vertical="top" wrapText="1"/>
    </xf>
    <xf numFmtId="0" fontId="6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right" vertical="top" wrapText="1"/>
    </xf>
    <xf numFmtId="0" fontId="6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3" fontId="4" fillId="0" borderId="1" xfId="0" applyNumberFormat="1" applyFont="1" applyBorder="1" applyAlignment="1">
      <alignment horizontal="right" wrapText="1"/>
    </xf>
    <xf numFmtId="0" fontId="6" fillId="0" borderId="1" xfId="0" applyFont="1" applyBorder="1" applyAlignment="1">
      <alignment/>
    </xf>
    <xf numFmtId="3" fontId="4" fillId="0" borderId="1" xfId="0" applyNumberFormat="1" applyFont="1" applyBorder="1" applyAlignment="1">
      <alignment/>
    </xf>
    <xf numFmtId="2" fontId="4" fillId="0" borderId="1" xfId="0" applyNumberFormat="1" applyFont="1" applyBorder="1" applyAlignment="1">
      <alignment horizontal="right" wrapText="1"/>
    </xf>
    <xf numFmtId="2" fontId="4" fillId="0" borderId="1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vertical="top" wrapText="1"/>
    </xf>
    <xf numFmtId="0" fontId="1" fillId="0" borderId="0" xfId="0" applyFont="1" applyAlignment="1">
      <alignment horizontal="center"/>
    </xf>
    <xf numFmtId="3" fontId="10" fillId="0" borderId="1" xfId="0" applyNumberFormat="1" applyFont="1" applyBorder="1" applyAlignment="1">
      <alignment/>
    </xf>
    <xf numFmtId="0" fontId="13" fillId="0" borderId="0" xfId="0" applyFont="1" applyAlignment="1">
      <alignment/>
    </xf>
    <xf numFmtId="0" fontId="6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right"/>
    </xf>
    <xf numFmtId="0" fontId="4" fillId="0" borderId="2" xfId="0" applyFont="1" applyBorder="1" applyAlignment="1">
      <alignment vertical="top" wrapText="1"/>
    </xf>
    <xf numFmtId="3" fontId="4" fillId="0" borderId="1" xfId="0" applyNumberFormat="1" applyFont="1" applyBorder="1" applyAlignment="1">
      <alignment vertical="top" wrapText="1"/>
    </xf>
    <xf numFmtId="4" fontId="4" fillId="0" borderId="1" xfId="0" applyNumberFormat="1" applyFont="1" applyBorder="1" applyAlignment="1">
      <alignment vertical="top" wrapText="1"/>
    </xf>
    <xf numFmtId="0" fontId="14" fillId="0" borderId="1" xfId="0" applyFont="1" applyBorder="1" applyAlignment="1">
      <alignment vertical="top" wrapText="1"/>
    </xf>
    <xf numFmtId="3" fontId="14" fillId="0" borderId="1" xfId="0" applyNumberFormat="1" applyFont="1" applyBorder="1" applyAlignment="1">
      <alignment horizontal="right" vertical="top" wrapText="1"/>
    </xf>
    <xf numFmtId="0" fontId="4" fillId="0" borderId="3" xfId="0" applyFont="1" applyBorder="1" applyAlignment="1">
      <alignment vertical="top" wrapText="1"/>
    </xf>
    <xf numFmtId="3" fontId="4" fillId="0" borderId="3" xfId="0" applyNumberFormat="1" applyFont="1" applyBorder="1" applyAlignment="1">
      <alignment vertical="top" wrapText="1"/>
    </xf>
    <xf numFmtId="0" fontId="6" fillId="0" borderId="0" xfId="0" applyFont="1" applyBorder="1" applyAlignment="1">
      <alignment/>
    </xf>
    <xf numFmtId="0" fontId="4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right" vertical="center" wrapText="1"/>
    </xf>
    <xf numFmtId="2" fontId="6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2" fontId="4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vertical="top" shrinkToFit="1"/>
    </xf>
    <xf numFmtId="2" fontId="4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/>
    </xf>
    <xf numFmtId="0" fontId="4" fillId="0" borderId="0" xfId="0" applyFont="1" applyBorder="1" applyAlignment="1">
      <alignment vertical="top" wrapText="1"/>
    </xf>
    <xf numFmtId="3" fontId="4" fillId="0" borderId="0" xfId="0" applyNumberFormat="1" applyFont="1" applyBorder="1" applyAlignment="1">
      <alignment horizontal="right" vertical="top" wrapText="1"/>
    </xf>
    <xf numFmtId="4" fontId="4" fillId="0" borderId="0" xfId="0" applyNumberFormat="1" applyFont="1" applyBorder="1" applyAlignment="1">
      <alignment horizontal="right" vertical="top" wrapText="1"/>
    </xf>
    <xf numFmtId="3" fontId="6" fillId="0" borderId="1" xfId="0" applyNumberFormat="1" applyFont="1" applyBorder="1" applyAlignment="1">
      <alignment vertical="center" wrapText="1"/>
    </xf>
    <xf numFmtId="3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 horizontal="right" wrapText="1"/>
    </xf>
    <xf numFmtId="2" fontId="4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 wrapText="1"/>
    </xf>
    <xf numFmtId="177" fontId="6" fillId="0" borderId="1" xfId="0" applyNumberFormat="1" applyFont="1" applyBorder="1" applyAlignment="1">
      <alignment horizontal="right" vertical="center" wrapText="1"/>
    </xf>
    <xf numFmtId="177" fontId="4" fillId="0" borderId="1" xfId="0" applyNumberFormat="1" applyFont="1" applyBorder="1" applyAlignment="1">
      <alignment horizontal="right" vertical="center" wrapText="1"/>
    </xf>
    <xf numFmtId="177" fontId="4" fillId="0" borderId="1" xfId="0" applyNumberFormat="1" applyFont="1" applyBorder="1" applyAlignment="1">
      <alignment vertical="top" wrapText="1"/>
    </xf>
    <xf numFmtId="177" fontId="6" fillId="0" borderId="1" xfId="0" applyNumberFormat="1" applyFont="1" applyBorder="1" applyAlignment="1">
      <alignment vertical="top" wrapText="1"/>
    </xf>
    <xf numFmtId="177" fontId="6" fillId="0" borderId="1" xfId="0" applyNumberFormat="1" applyFont="1" applyBorder="1" applyAlignment="1">
      <alignment vertical="top" shrinkToFit="1"/>
    </xf>
    <xf numFmtId="177" fontId="6" fillId="0" borderId="1" xfId="0" applyNumberFormat="1" applyFont="1" applyBorder="1" applyAlignment="1">
      <alignment horizontal="center" vertical="top" wrapText="1"/>
    </xf>
    <xf numFmtId="177" fontId="6" fillId="0" borderId="1" xfId="0" applyNumberFormat="1" applyFont="1" applyBorder="1" applyAlignment="1">
      <alignment horizontal="right" vertical="top" wrapText="1"/>
    </xf>
    <xf numFmtId="177" fontId="4" fillId="0" borderId="1" xfId="0" applyNumberFormat="1" applyFont="1" applyBorder="1" applyAlignment="1">
      <alignment horizontal="right" vertical="top" wrapText="1"/>
    </xf>
    <xf numFmtId="177" fontId="4" fillId="0" borderId="1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3" fontId="6" fillId="0" borderId="1" xfId="0" applyNumberFormat="1" applyFont="1" applyFill="1" applyBorder="1" applyAlignment="1">
      <alignment horizontal="right" vertical="top" wrapText="1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2" xfId="0" applyFont="1" applyBorder="1" applyAlignment="1">
      <alignment/>
    </xf>
    <xf numFmtId="0" fontId="4" fillId="0" borderId="1" xfId="0" applyFont="1" applyBorder="1" applyAlignment="1">
      <alignment/>
    </xf>
    <xf numFmtId="0" fontId="6" fillId="0" borderId="0" xfId="0" applyFont="1" applyAlignment="1">
      <alignment/>
    </xf>
    <xf numFmtId="177" fontId="4" fillId="0" borderId="0" xfId="0" applyNumberFormat="1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3" fontId="6" fillId="0" borderId="0" xfId="0" applyNumberFormat="1" applyFont="1" applyBorder="1" applyAlignment="1">
      <alignment horizontal="center" vertical="top" wrapText="1"/>
    </xf>
    <xf numFmtId="3" fontId="6" fillId="0" borderId="0" xfId="0" applyNumberFormat="1" applyFont="1" applyBorder="1" applyAlignment="1">
      <alignment horizontal="right" vertical="top" wrapText="1"/>
    </xf>
    <xf numFmtId="2" fontId="6" fillId="0" borderId="0" xfId="0" applyNumberFormat="1" applyFont="1" applyBorder="1" applyAlignment="1">
      <alignment horizontal="center" vertical="top" wrapText="1"/>
    </xf>
    <xf numFmtId="0" fontId="6" fillId="0" borderId="0" xfId="0" applyFont="1" applyFill="1" applyBorder="1" applyAlignment="1">
      <alignment vertical="top" wrapText="1"/>
    </xf>
    <xf numFmtId="0" fontId="6" fillId="0" borderId="4" xfId="0" applyFont="1" applyBorder="1" applyAlignment="1">
      <alignment/>
    </xf>
    <xf numFmtId="3" fontId="4" fillId="0" borderId="5" xfId="0" applyNumberFormat="1" applyFont="1" applyBorder="1" applyAlignment="1">
      <alignment vertical="top" wrapText="1"/>
    </xf>
    <xf numFmtId="0" fontId="6" fillId="0" borderId="6" xfId="0" applyFont="1" applyBorder="1" applyAlignment="1">
      <alignment/>
    </xf>
    <xf numFmtId="3" fontId="4" fillId="0" borderId="7" xfId="0" applyNumberFormat="1" applyFont="1" applyBorder="1" applyAlignment="1">
      <alignment vertical="top" wrapText="1"/>
    </xf>
    <xf numFmtId="183" fontId="6" fillId="0" borderId="1" xfId="0" applyNumberFormat="1" applyFont="1" applyBorder="1" applyAlignment="1">
      <alignment horizontal="right" vertical="center" wrapText="1"/>
    </xf>
    <xf numFmtId="183" fontId="4" fillId="0" borderId="1" xfId="0" applyNumberFormat="1" applyFont="1" applyBorder="1" applyAlignment="1">
      <alignment horizontal="right" vertical="center" wrapText="1"/>
    </xf>
    <xf numFmtId="4" fontId="6" fillId="0" borderId="3" xfId="0" applyNumberFormat="1" applyFont="1" applyBorder="1" applyAlignment="1">
      <alignment horizontal="center" vertical="top" wrapText="1"/>
    </xf>
    <xf numFmtId="3" fontId="6" fillId="0" borderId="3" xfId="0" applyNumberFormat="1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right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/>
    </xf>
    <xf numFmtId="3" fontId="6" fillId="0" borderId="3" xfId="0" applyNumberFormat="1" applyFont="1" applyBorder="1" applyAlignment="1">
      <alignment horizontal="right" vertical="top" wrapText="1"/>
    </xf>
    <xf numFmtId="4" fontId="6" fillId="0" borderId="3" xfId="0" applyNumberFormat="1" applyFont="1" applyBorder="1" applyAlignment="1">
      <alignment horizontal="right" vertical="top" wrapText="1"/>
    </xf>
    <xf numFmtId="3" fontId="6" fillId="0" borderId="3" xfId="0" applyNumberFormat="1" applyFont="1" applyBorder="1" applyAlignment="1">
      <alignment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3" fontId="14" fillId="0" borderId="2" xfId="0" applyNumberFormat="1" applyFont="1" applyBorder="1" applyAlignment="1">
      <alignment/>
    </xf>
    <xf numFmtId="3" fontId="14" fillId="0" borderId="2" xfId="0" applyNumberFormat="1" applyFont="1" applyBorder="1" applyAlignment="1">
      <alignment horizontal="right"/>
    </xf>
    <xf numFmtId="4" fontId="4" fillId="0" borderId="2" xfId="0" applyNumberFormat="1" applyFont="1" applyBorder="1" applyAlignment="1">
      <alignment vertical="top" wrapText="1"/>
    </xf>
    <xf numFmtId="4" fontId="4" fillId="0" borderId="0" xfId="0" applyNumberFormat="1" applyFont="1" applyBorder="1" applyAlignment="1">
      <alignment vertical="top" wrapText="1"/>
    </xf>
    <xf numFmtId="4" fontId="4" fillId="0" borderId="3" xfId="0" applyNumberFormat="1" applyFont="1" applyBorder="1" applyAlignment="1">
      <alignment vertical="top" wrapText="1"/>
    </xf>
    <xf numFmtId="4" fontId="6" fillId="0" borderId="2" xfId="0" applyNumberFormat="1" applyFont="1" applyBorder="1" applyAlignment="1">
      <alignment vertical="top" wrapText="1"/>
    </xf>
    <xf numFmtId="3" fontId="4" fillId="0" borderId="0" xfId="0" applyNumberFormat="1" applyFont="1" applyBorder="1" applyAlignment="1">
      <alignment vertical="top" wrapText="1"/>
    </xf>
    <xf numFmtId="177" fontId="4" fillId="0" borderId="0" xfId="0" applyNumberFormat="1" applyFont="1" applyBorder="1" applyAlignment="1">
      <alignment horizontal="right" vertical="center" wrapText="1"/>
    </xf>
    <xf numFmtId="183" fontId="4" fillId="0" borderId="0" xfId="0" applyNumberFormat="1" applyFont="1" applyBorder="1" applyAlignment="1">
      <alignment horizontal="right" vertical="center" wrapText="1"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" xfId="0" applyFont="1" applyFill="1" applyBorder="1" applyAlignment="1">
      <alignment vertical="top" wrapText="1"/>
    </xf>
    <xf numFmtId="0" fontId="6" fillId="0" borderId="9" xfId="0" applyFont="1" applyFill="1" applyBorder="1" applyAlignment="1">
      <alignment vertical="top" wrapText="1"/>
    </xf>
    <xf numFmtId="177" fontId="9" fillId="0" borderId="0" xfId="0" applyNumberFormat="1" applyFont="1" applyAlignment="1">
      <alignment/>
    </xf>
    <xf numFmtId="0" fontId="6" fillId="0" borderId="1" xfId="0" applyFont="1" applyBorder="1" applyAlignment="1">
      <alignment wrapText="1"/>
    </xf>
    <xf numFmtId="3" fontId="6" fillId="0" borderId="1" xfId="0" applyNumberFormat="1" applyFont="1" applyFill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vertical="top" wrapText="1"/>
    </xf>
    <xf numFmtId="3" fontId="4" fillId="0" borderId="1" xfId="0" applyNumberFormat="1" applyFont="1" applyFill="1" applyBorder="1" applyAlignment="1">
      <alignment horizontal="right" vertical="top" wrapText="1"/>
    </xf>
    <xf numFmtId="3" fontId="6" fillId="0" borderId="1" xfId="0" applyNumberFormat="1" applyFont="1" applyFill="1" applyBorder="1" applyAlignment="1">
      <alignment horizontal="center" vertical="top" wrapText="1"/>
    </xf>
    <xf numFmtId="3" fontId="6" fillId="0" borderId="0" xfId="0" applyNumberFormat="1" applyFont="1" applyAlignment="1">
      <alignment/>
    </xf>
    <xf numFmtId="0" fontId="4" fillId="0" borderId="1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vertical="top" wrapText="1"/>
    </xf>
    <xf numFmtId="3" fontId="4" fillId="0" borderId="1" xfId="0" applyNumberFormat="1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/>
    </xf>
    <xf numFmtId="3" fontId="4" fillId="0" borderId="1" xfId="0" applyNumberFormat="1" applyFont="1" applyFill="1" applyBorder="1" applyAlignment="1" quotePrefix="1">
      <alignment horizontal="right" vertical="top" wrapText="1"/>
    </xf>
    <xf numFmtId="4" fontId="6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0" fontId="16" fillId="0" borderId="1" xfId="0" applyFont="1" applyBorder="1" applyAlignment="1">
      <alignment/>
    </xf>
    <xf numFmtId="4" fontId="16" fillId="0" borderId="1" xfId="0" applyNumberFormat="1" applyFont="1" applyBorder="1" applyAlignment="1">
      <alignment horizontal="right" vertical="top" wrapText="1"/>
    </xf>
    <xf numFmtId="4" fontId="16" fillId="0" borderId="1" xfId="0" applyNumberFormat="1" applyFont="1" applyBorder="1" applyAlignment="1">
      <alignment vertical="top" wrapText="1"/>
    </xf>
    <xf numFmtId="0" fontId="17" fillId="0" borderId="0" xfId="0" applyFont="1" applyAlignment="1">
      <alignment/>
    </xf>
    <xf numFmtId="183" fontId="4" fillId="0" borderId="1" xfId="0" applyNumberFormat="1" applyFont="1" applyBorder="1" applyAlignment="1">
      <alignment horizontal="right" vertical="top" wrapText="1"/>
    </xf>
    <xf numFmtId="3" fontId="6" fillId="0" borderId="0" xfId="0" applyNumberFormat="1" applyFont="1" applyFill="1" applyBorder="1" applyAlignment="1">
      <alignment vertical="top" wrapText="1"/>
    </xf>
    <xf numFmtId="177" fontId="6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6" fillId="0" borderId="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right"/>
    </xf>
    <xf numFmtId="0" fontId="6" fillId="0" borderId="2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6" fillId="0" borderId="8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3" fontId="6" fillId="0" borderId="2" xfId="0" applyNumberFormat="1" applyFont="1" applyBorder="1" applyAlignment="1">
      <alignment horizontal="center" vertical="top" wrapText="1"/>
    </xf>
    <xf numFmtId="3" fontId="6" fillId="0" borderId="3" xfId="0" applyNumberFormat="1" applyFont="1" applyBorder="1" applyAlignment="1">
      <alignment horizontal="center" vertical="top" wrapText="1"/>
    </xf>
    <xf numFmtId="4" fontId="6" fillId="0" borderId="2" xfId="0" applyNumberFormat="1" applyFont="1" applyBorder="1" applyAlignment="1">
      <alignment horizontal="center" vertical="top" wrapText="1"/>
    </xf>
    <xf numFmtId="4" fontId="6" fillId="0" borderId="3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4" fontId="14" fillId="0" borderId="1" xfId="0" applyNumberFormat="1" applyFont="1" applyBorder="1" applyAlignment="1">
      <alignment horizontal="righ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zoomScale="90" zoomScaleNormal="90" workbookViewId="0" topLeftCell="A4">
      <selection activeCell="A17" sqref="A17"/>
    </sheetView>
  </sheetViews>
  <sheetFormatPr defaultColWidth="9.140625" defaultRowHeight="12.75"/>
  <cols>
    <col min="1" max="1" width="43.00390625" style="0" customWidth="1"/>
    <col min="2" max="2" width="11.7109375" style="0" customWidth="1"/>
    <col min="3" max="3" width="12.28125" style="0" customWidth="1"/>
    <col min="4" max="4" width="12.140625" style="0" customWidth="1"/>
    <col min="5" max="5" width="11.140625" style="0" customWidth="1"/>
    <col min="6" max="6" width="11.57421875" style="0" customWidth="1"/>
    <col min="7" max="7" width="12.00390625" style="0" customWidth="1"/>
    <col min="8" max="8" width="11.28125" style="0" customWidth="1"/>
    <col min="9" max="9" width="10.8515625" style="0" customWidth="1"/>
    <col min="11" max="11" width="11.140625" style="0" customWidth="1"/>
    <col min="12" max="12" width="10.7109375" style="0" customWidth="1"/>
    <col min="13" max="13" width="9.8515625" style="0" customWidth="1"/>
  </cols>
  <sheetData>
    <row r="1" spans="1:13" ht="15.75">
      <c r="A1" s="36"/>
      <c r="B1" s="36"/>
      <c r="C1" s="36"/>
      <c r="D1" s="36"/>
      <c r="E1" s="36"/>
      <c r="F1" s="36"/>
      <c r="G1" s="36"/>
      <c r="H1" s="36"/>
      <c r="I1" s="46"/>
      <c r="J1" s="36"/>
      <c r="K1" s="36"/>
      <c r="L1" s="36"/>
      <c r="M1" s="5" t="s">
        <v>62</v>
      </c>
    </row>
    <row r="2" spans="1:13" ht="18.75">
      <c r="A2" s="167" t="s">
        <v>137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</row>
    <row r="3" spans="1:13" s="3" customFormat="1" ht="18.75">
      <c r="A3" s="167" t="s">
        <v>121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</row>
    <row r="4" ht="12.75">
      <c r="C4" s="36"/>
    </row>
    <row r="5" spans="1:13" ht="15.75">
      <c r="A5" s="1"/>
      <c r="I5" s="2"/>
      <c r="L5" s="171" t="s">
        <v>2</v>
      </c>
      <c r="M5" s="171"/>
    </row>
    <row r="6" spans="1:13" ht="15.75">
      <c r="A6" s="49"/>
      <c r="B6" s="165" t="s">
        <v>3</v>
      </c>
      <c r="C6" s="166"/>
      <c r="D6" s="166"/>
      <c r="E6" s="165"/>
      <c r="F6" s="165" t="s">
        <v>4</v>
      </c>
      <c r="G6" s="165"/>
      <c r="H6" s="166"/>
      <c r="I6" s="165"/>
      <c r="J6" s="172" t="s">
        <v>15</v>
      </c>
      <c r="K6" s="172"/>
      <c r="L6" s="173"/>
      <c r="M6" s="173"/>
    </row>
    <row r="7" spans="1:13" ht="24.75" customHeight="1">
      <c r="A7" s="168" t="s">
        <v>5</v>
      </c>
      <c r="B7" s="115" t="s">
        <v>6</v>
      </c>
      <c r="C7" s="169" t="s">
        <v>8</v>
      </c>
      <c r="D7" s="168" t="s">
        <v>9</v>
      </c>
      <c r="E7" s="118" t="s">
        <v>9</v>
      </c>
      <c r="F7" s="113" t="s">
        <v>6</v>
      </c>
      <c r="G7" s="113" t="s">
        <v>11</v>
      </c>
      <c r="H7" s="170" t="s">
        <v>9</v>
      </c>
      <c r="I7" s="118" t="s">
        <v>9</v>
      </c>
      <c r="J7" s="110" t="s">
        <v>6</v>
      </c>
      <c r="K7" s="110" t="s">
        <v>17</v>
      </c>
      <c r="L7" s="169" t="s">
        <v>9</v>
      </c>
      <c r="M7" s="166" t="s">
        <v>18</v>
      </c>
    </row>
    <row r="8" spans="1:13" ht="21" customHeight="1">
      <c r="A8" s="168"/>
      <c r="B8" s="116" t="s">
        <v>7</v>
      </c>
      <c r="C8" s="169"/>
      <c r="D8" s="168"/>
      <c r="E8" s="119" t="s">
        <v>10</v>
      </c>
      <c r="F8" s="117" t="s">
        <v>7</v>
      </c>
      <c r="G8" s="117" t="s">
        <v>7</v>
      </c>
      <c r="H8" s="170"/>
      <c r="I8" s="119" t="s">
        <v>12</v>
      </c>
      <c r="J8" s="112" t="s">
        <v>22</v>
      </c>
      <c r="K8" s="112" t="s">
        <v>22</v>
      </c>
      <c r="L8" s="169"/>
      <c r="M8" s="166"/>
    </row>
    <row r="9" spans="1:13" ht="15.75">
      <c r="A9" s="39" t="s">
        <v>13</v>
      </c>
      <c r="B9" s="58"/>
      <c r="C9" s="39"/>
      <c r="D9" s="39"/>
      <c r="E9" s="58"/>
      <c r="F9" s="58"/>
      <c r="G9" s="58"/>
      <c r="H9" s="39"/>
      <c r="I9" s="58"/>
      <c r="J9" s="111"/>
      <c r="K9" s="111"/>
      <c r="L9" s="37"/>
      <c r="M9" s="12"/>
    </row>
    <row r="10" spans="1:13" ht="15.75" customHeight="1">
      <c r="A10" s="51" t="s">
        <v>83</v>
      </c>
      <c r="B10" s="7">
        <f>58453+1330</f>
        <v>59783</v>
      </c>
      <c r="C10" s="7">
        <v>64563</v>
      </c>
      <c r="D10" s="7">
        <v>32387</v>
      </c>
      <c r="E10" s="33">
        <f>D10/C10*100</f>
        <v>50.1634062853337</v>
      </c>
      <c r="F10" s="7">
        <v>17779</v>
      </c>
      <c r="G10" s="7">
        <v>19280</v>
      </c>
      <c r="H10" s="7">
        <v>9950</v>
      </c>
      <c r="I10" s="30">
        <f>H10/G10*100</f>
        <v>51.60788381742739</v>
      </c>
      <c r="J10" s="7">
        <v>33370</v>
      </c>
      <c r="K10" s="7">
        <f>+J10+38006+4201+110</f>
        <v>75687</v>
      </c>
      <c r="L10" s="7">
        <v>56832</v>
      </c>
      <c r="M10" s="8">
        <f>L10/K10*100</f>
        <v>75.08819215981607</v>
      </c>
    </row>
    <row r="11" spans="1:13" ht="15.75">
      <c r="A11" s="38" t="s">
        <v>110</v>
      </c>
      <c r="B11" s="7">
        <v>15432</v>
      </c>
      <c r="C11" s="7">
        <v>15849</v>
      </c>
      <c r="D11" s="7">
        <v>6648</v>
      </c>
      <c r="E11" s="33">
        <f>D11/C11*100</f>
        <v>41.94586409237176</v>
      </c>
      <c r="F11" s="7">
        <v>3483</v>
      </c>
      <c r="G11" s="7">
        <v>3637</v>
      </c>
      <c r="H11" s="7">
        <v>1558</v>
      </c>
      <c r="I11" s="30">
        <f>H11/G11*100</f>
        <v>42.837503436898544</v>
      </c>
      <c r="J11" s="7">
        <v>196</v>
      </c>
      <c r="K11" s="7">
        <f>+J11</f>
        <v>196</v>
      </c>
      <c r="L11" s="7">
        <v>119</v>
      </c>
      <c r="M11" s="8">
        <f aca="true" t="shared" si="0" ref="M11:M23">L11/K11*100</f>
        <v>60.71428571428571</v>
      </c>
    </row>
    <row r="12" spans="1:13" ht="15.75">
      <c r="A12" s="39" t="s">
        <v>84</v>
      </c>
      <c r="B12" s="11">
        <f>SUM(B10:B11)</f>
        <v>75215</v>
      </c>
      <c r="C12" s="11">
        <f>SUM(C10:C11)</f>
        <v>80412</v>
      </c>
      <c r="D12" s="11">
        <f>SUM(D10:D11)</f>
        <v>39035</v>
      </c>
      <c r="E12" s="34">
        <f>D12/C12*100</f>
        <v>48.543749689101126</v>
      </c>
      <c r="F12" s="11">
        <f>SUM(F10:F11)</f>
        <v>21262</v>
      </c>
      <c r="G12" s="11">
        <f>SUM(G10:G11)</f>
        <v>22917</v>
      </c>
      <c r="H12" s="11">
        <f>SUM(H10:H11)</f>
        <v>11508</v>
      </c>
      <c r="I12" s="55">
        <f>H12/G12*100</f>
        <v>50.21599685822752</v>
      </c>
      <c r="J12" s="11">
        <f>SUM(J10:J11)</f>
        <v>33566</v>
      </c>
      <c r="K12" s="11">
        <f>SUM(K10:K11)</f>
        <v>75883</v>
      </c>
      <c r="L12" s="11">
        <f>SUM(L10:L11)</f>
        <v>56951</v>
      </c>
      <c r="M12" s="12">
        <f t="shared" si="0"/>
        <v>75.051065456031</v>
      </c>
    </row>
    <row r="13" spans="1:13" ht="15.75">
      <c r="A13" s="39" t="s">
        <v>14</v>
      </c>
      <c r="B13" s="11"/>
      <c r="C13" s="11"/>
      <c r="D13" s="11"/>
      <c r="E13" s="33"/>
      <c r="F13" s="11"/>
      <c r="G13" s="11"/>
      <c r="H13" s="11"/>
      <c r="I13" s="30"/>
      <c r="J13" s="11"/>
      <c r="K13" s="11"/>
      <c r="L13" s="11"/>
      <c r="M13" s="8"/>
    </row>
    <row r="14" spans="1:13" ht="15.75">
      <c r="A14" s="38" t="s">
        <v>85</v>
      </c>
      <c r="B14" s="7">
        <v>6100</v>
      </c>
      <c r="C14" s="7">
        <f>+B14</f>
        <v>6100</v>
      </c>
      <c r="D14" s="7">
        <v>2175</v>
      </c>
      <c r="E14" s="33">
        <f>D14/C14*100</f>
        <v>35.65573770491803</v>
      </c>
      <c r="F14" s="17">
        <v>2138</v>
      </c>
      <c r="G14" s="17">
        <f>+F14</f>
        <v>2138</v>
      </c>
      <c r="H14" s="17">
        <v>751</v>
      </c>
      <c r="I14" s="30">
        <f>H14/G14*100</f>
        <v>35.12628624883069</v>
      </c>
      <c r="J14" s="7">
        <v>174</v>
      </c>
      <c r="K14" s="7">
        <f>+J14</f>
        <v>174</v>
      </c>
      <c r="L14" s="7">
        <v>82</v>
      </c>
      <c r="M14" s="8">
        <f t="shared" si="0"/>
        <v>47.12643678160919</v>
      </c>
    </row>
    <row r="15" spans="1:13" ht="15.75">
      <c r="A15" s="38" t="s">
        <v>132</v>
      </c>
      <c r="B15" s="9"/>
      <c r="C15" s="9"/>
      <c r="D15" s="9"/>
      <c r="E15" s="33"/>
      <c r="F15" s="9"/>
      <c r="G15" s="9"/>
      <c r="H15" s="9"/>
      <c r="I15" s="30"/>
      <c r="J15" s="7">
        <v>2040</v>
      </c>
      <c r="K15" s="7">
        <f>+J15</f>
        <v>2040</v>
      </c>
      <c r="L15" s="7">
        <v>141</v>
      </c>
      <c r="M15" s="8">
        <f t="shared" si="0"/>
        <v>6.911764705882353</v>
      </c>
    </row>
    <row r="16" spans="1:13" ht="15.75">
      <c r="A16" s="38" t="s">
        <v>133</v>
      </c>
      <c r="B16" s="9"/>
      <c r="C16" s="9"/>
      <c r="D16" s="9"/>
      <c r="E16" s="33"/>
      <c r="F16" s="9"/>
      <c r="G16" s="9"/>
      <c r="H16" s="9"/>
      <c r="I16" s="30"/>
      <c r="J16" s="7"/>
      <c r="K16" s="7"/>
      <c r="L16" s="7"/>
      <c r="M16" s="8"/>
    </row>
    <row r="17" spans="1:13" ht="15.75">
      <c r="A17" s="38" t="s">
        <v>138</v>
      </c>
      <c r="B17" s="7"/>
      <c r="C17" s="7"/>
      <c r="D17" s="7">
        <v>938</v>
      </c>
      <c r="E17" s="33"/>
      <c r="F17" s="17"/>
      <c r="G17" s="17"/>
      <c r="H17" s="17">
        <v>259</v>
      </c>
      <c r="I17" s="30"/>
      <c r="J17" s="9"/>
      <c r="K17" s="7"/>
      <c r="L17" s="7">
        <v>327</v>
      </c>
      <c r="M17" s="8"/>
    </row>
    <row r="18" spans="1:13" ht="15.75">
      <c r="A18" s="38" t="s">
        <v>86</v>
      </c>
      <c r="B18" s="9"/>
      <c r="C18" s="9"/>
      <c r="D18" s="9"/>
      <c r="E18" s="33"/>
      <c r="F18" s="9"/>
      <c r="G18" s="9"/>
      <c r="H18" s="9"/>
      <c r="I18" s="30"/>
      <c r="J18" s="7">
        <v>5088</v>
      </c>
      <c r="K18" s="7">
        <f aca="true" t="shared" si="1" ref="K18:K24">+J18</f>
        <v>5088</v>
      </c>
      <c r="L18" s="7">
        <v>3649</v>
      </c>
      <c r="M18" s="8">
        <f t="shared" si="0"/>
        <v>71.71776729559748</v>
      </c>
    </row>
    <row r="19" spans="1:13" ht="16.5" customHeight="1">
      <c r="A19" s="38" t="s">
        <v>93</v>
      </c>
      <c r="B19" s="17">
        <v>122</v>
      </c>
      <c r="C19" s="17">
        <f>+B19</f>
        <v>122</v>
      </c>
      <c r="D19" s="17">
        <v>91</v>
      </c>
      <c r="E19" s="33">
        <f>D19/C19*100</f>
        <v>74.59016393442623</v>
      </c>
      <c r="F19" s="17">
        <v>57</v>
      </c>
      <c r="G19" s="17">
        <f>+F19</f>
        <v>57</v>
      </c>
      <c r="H19" s="17">
        <v>12</v>
      </c>
      <c r="I19" s="30">
        <f>H19/G19*100</f>
        <v>21.052631578947366</v>
      </c>
      <c r="J19" s="7">
        <v>591</v>
      </c>
      <c r="K19" s="7">
        <f t="shared" si="1"/>
        <v>591</v>
      </c>
      <c r="L19" s="7">
        <v>346</v>
      </c>
      <c r="M19" s="8">
        <f t="shared" si="0"/>
        <v>58.544839255499156</v>
      </c>
    </row>
    <row r="20" spans="1:13" ht="15.75">
      <c r="A20" s="38" t="s">
        <v>87</v>
      </c>
      <c r="B20" s="9"/>
      <c r="C20" s="9"/>
      <c r="D20" s="9"/>
      <c r="E20" s="33"/>
      <c r="F20" s="9"/>
      <c r="G20" s="9"/>
      <c r="H20" s="9"/>
      <c r="I20" s="30"/>
      <c r="J20" s="7">
        <v>2846</v>
      </c>
      <c r="K20" s="7">
        <f t="shared" si="1"/>
        <v>2846</v>
      </c>
      <c r="L20" s="7">
        <v>660</v>
      </c>
      <c r="M20" s="8">
        <f t="shared" si="0"/>
        <v>23.190442726633872</v>
      </c>
    </row>
    <row r="21" spans="1:13" ht="15.75">
      <c r="A21" s="38" t="s">
        <v>88</v>
      </c>
      <c r="B21" s="9"/>
      <c r="C21" s="9"/>
      <c r="D21" s="9"/>
      <c r="E21" s="33"/>
      <c r="F21" s="9"/>
      <c r="G21" s="9"/>
      <c r="H21" s="9"/>
      <c r="I21" s="30"/>
      <c r="J21" s="7">
        <v>10878</v>
      </c>
      <c r="K21" s="7">
        <f t="shared" si="1"/>
        <v>10878</v>
      </c>
      <c r="L21" s="7">
        <v>5276</v>
      </c>
      <c r="M21" s="8">
        <f t="shared" si="0"/>
        <v>48.501562787277074</v>
      </c>
    </row>
    <row r="22" spans="1:13" s="160" customFormat="1" ht="15.75">
      <c r="A22" s="41" t="s">
        <v>89</v>
      </c>
      <c r="B22" s="157"/>
      <c r="C22" s="157"/>
      <c r="D22" s="157"/>
      <c r="E22" s="158"/>
      <c r="F22" s="157"/>
      <c r="G22" s="157"/>
      <c r="H22" s="157"/>
      <c r="I22" s="159"/>
      <c r="J22" s="89">
        <v>5791</v>
      </c>
      <c r="K22" s="89">
        <f t="shared" si="1"/>
        <v>5791</v>
      </c>
      <c r="L22" s="89">
        <v>3282</v>
      </c>
      <c r="M22" s="8">
        <f t="shared" si="0"/>
        <v>56.67414954239337</v>
      </c>
    </row>
    <row r="23" spans="1:13" s="160" customFormat="1" ht="15.75">
      <c r="A23" s="41" t="s">
        <v>94</v>
      </c>
      <c r="B23" s="157"/>
      <c r="C23" s="157"/>
      <c r="D23" s="157"/>
      <c r="E23" s="158"/>
      <c r="F23" s="157"/>
      <c r="G23" s="157"/>
      <c r="H23" s="157"/>
      <c r="I23" s="159"/>
      <c r="J23" s="89">
        <v>692</v>
      </c>
      <c r="K23" s="89">
        <f t="shared" si="1"/>
        <v>692</v>
      </c>
      <c r="L23" s="89">
        <v>276</v>
      </c>
      <c r="M23" s="8">
        <f t="shared" si="0"/>
        <v>39.884393063583815</v>
      </c>
    </row>
    <row r="24" spans="1:13" s="160" customFormat="1" ht="15.75">
      <c r="A24" s="41" t="s">
        <v>95</v>
      </c>
      <c r="B24" s="157"/>
      <c r="C24" s="157"/>
      <c r="D24" s="157"/>
      <c r="E24" s="158"/>
      <c r="F24" s="157"/>
      <c r="G24" s="157"/>
      <c r="H24" s="157"/>
      <c r="I24" s="159"/>
      <c r="J24" s="89">
        <v>94</v>
      </c>
      <c r="K24" s="89">
        <f t="shared" si="1"/>
        <v>94</v>
      </c>
      <c r="L24" s="89"/>
      <c r="M24" s="8"/>
    </row>
    <row r="25" spans="1:13" ht="15.75" customHeight="1">
      <c r="A25" s="144" t="s">
        <v>131</v>
      </c>
      <c r="B25" s="41"/>
      <c r="C25" s="41"/>
      <c r="D25" s="41">
        <v>124</v>
      </c>
      <c r="E25" s="33"/>
      <c r="F25" s="41"/>
      <c r="G25" s="41"/>
      <c r="H25" s="41">
        <v>34</v>
      </c>
      <c r="I25" s="30"/>
      <c r="J25" s="89"/>
      <c r="K25" s="89"/>
      <c r="L25" s="89"/>
      <c r="M25" s="8"/>
    </row>
    <row r="26" spans="1:13" ht="15.75">
      <c r="A26" s="101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</row>
    <row r="27" spans="1:13" ht="15.75">
      <c r="A27" s="6"/>
      <c r="B27" s="6"/>
      <c r="C27" s="6"/>
      <c r="D27" s="6"/>
      <c r="E27" s="90">
        <v>1</v>
      </c>
      <c r="F27" s="6"/>
      <c r="G27" s="6"/>
      <c r="H27" s="6"/>
      <c r="I27" s="6"/>
      <c r="J27" s="6"/>
      <c r="K27" s="6"/>
      <c r="L27" s="6"/>
      <c r="M27" s="6"/>
    </row>
    <row r="28" spans="1:13" ht="15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</row>
    <row r="29" spans="1:13" ht="15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1:13" ht="15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1:13" ht="15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</row>
    <row r="32" spans="1:13" ht="15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1:13" ht="15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</row>
    <row r="34" spans="1:13" ht="15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</row>
    <row r="35" spans="1:13" ht="15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</row>
    <row r="36" spans="1:13" ht="15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</row>
    <row r="37" spans="1:13" ht="15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</row>
    <row r="38" spans="1:13" ht="15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</row>
    <row r="39" spans="1:13" ht="15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</row>
    <row r="40" spans="1:13" ht="15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</row>
    <row r="41" spans="1:13" ht="15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</row>
    <row r="42" spans="1:13" ht="15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</row>
    <row r="43" spans="1:13" ht="15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</row>
    <row r="44" spans="1:13" ht="15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</row>
    <row r="45" spans="1:13" ht="15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</row>
    <row r="46" spans="1:13" ht="15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</row>
    <row r="47" spans="1:13" ht="15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</row>
    <row r="48" spans="1:13" ht="15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</row>
    <row r="49" spans="1:13" ht="15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</row>
    <row r="50" spans="1:13" ht="15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</row>
    <row r="51" spans="1:13" ht="15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3" ht="15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</row>
    <row r="53" spans="1:13" ht="15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</row>
  </sheetData>
  <mergeCells count="12">
    <mergeCell ref="L7:L8"/>
    <mergeCell ref="M7:M8"/>
    <mergeCell ref="J6:M6"/>
    <mergeCell ref="A7:A8"/>
    <mergeCell ref="C7:C8"/>
    <mergeCell ref="D7:D8"/>
    <mergeCell ref="H7:H8"/>
    <mergeCell ref="B6:E6"/>
    <mergeCell ref="F6:I6"/>
    <mergeCell ref="A2:M2"/>
    <mergeCell ref="A3:M3"/>
    <mergeCell ref="L5:M5"/>
  </mergeCells>
  <printOptions horizontalCentered="1" vertic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zoomScale="90" zoomScaleNormal="90" workbookViewId="0" topLeftCell="C1">
      <selection activeCell="A17" sqref="A17"/>
    </sheetView>
  </sheetViews>
  <sheetFormatPr defaultColWidth="9.140625" defaultRowHeight="12.75"/>
  <cols>
    <col min="1" max="1" width="44.57421875" style="4" customWidth="1"/>
    <col min="2" max="2" width="14.00390625" style="4" customWidth="1"/>
    <col min="3" max="3" width="12.421875" style="4" customWidth="1"/>
    <col min="4" max="4" width="11.140625" style="4" customWidth="1"/>
    <col min="5" max="5" width="10.00390625" style="4" customWidth="1"/>
    <col min="6" max="7" width="9.421875" style="4" bestFit="1" customWidth="1"/>
    <col min="8" max="8" width="10.8515625" style="4" customWidth="1"/>
    <col min="9" max="9" width="9.57421875" style="4" customWidth="1"/>
    <col min="10" max="10" width="9.57421875" style="4" bestFit="1" customWidth="1"/>
    <col min="11" max="11" width="10.8515625" style="4" customWidth="1"/>
    <col min="12" max="12" width="10.421875" style="4" customWidth="1"/>
    <col min="13" max="13" width="11.8515625" style="4" customWidth="1"/>
    <col min="14" max="16384" width="9.140625" style="4" customWidth="1"/>
  </cols>
  <sheetData>
    <row r="1" spans="1:13" ht="15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5" t="s">
        <v>0</v>
      </c>
    </row>
    <row r="2" spans="1:13" ht="18.75">
      <c r="A2" s="167" t="s">
        <v>1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</row>
    <row r="3" spans="1:13" ht="18.75">
      <c r="A3" s="167" t="s">
        <v>121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</row>
    <row r="4" spans="1:13" ht="15.7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15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 t="s">
        <v>24</v>
      </c>
      <c r="M5" s="6"/>
    </row>
    <row r="6" spans="1:13" ht="15.75">
      <c r="A6" s="35"/>
      <c r="B6" s="172" t="s">
        <v>63</v>
      </c>
      <c r="C6" s="173"/>
      <c r="D6" s="173"/>
      <c r="E6" s="173"/>
      <c r="F6" s="172" t="s">
        <v>64</v>
      </c>
      <c r="G6" s="173"/>
      <c r="H6" s="173"/>
      <c r="I6" s="173"/>
      <c r="J6" s="173" t="s">
        <v>16</v>
      </c>
      <c r="K6" s="173"/>
      <c r="L6" s="173"/>
      <c r="M6" s="173"/>
    </row>
    <row r="7" spans="1:13" ht="15.75">
      <c r="A7" s="175" t="s">
        <v>5</v>
      </c>
      <c r="B7" s="110" t="s">
        <v>6</v>
      </c>
      <c r="C7" s="176" t="s">
        <v>19</v>
      </c>
      <c r="D7" s="166" t="s">
        <v>9</v>
      </c>
      <c r="E7" s="168" t="s">
        <v>20</v>
      </c>
      <c r="F7" s="110" t="s">
        <v>6</v>
      </c>
      <c r="G7" s="176" t="s">
        <v>19</v>
      </c>
      <c r="H7" s="166" t="s">
        <v>9</v>
      </c>
      <c r="I7" s="166" t="s">
        <v>20</v>
      </c>
      <c r="J7" s="173" t="s">
        <v>21</v>
      </c>
      <c r="K7" s="173" t="s">
        <v>19</v>
      </c>
      <c r="L7" s="166" t="s">
        <v>9</v>
      </c>
      <c r="M7" s="166" t="s">
        <v>20</v>
      </c>
    </row>
    <row r="8" spans="1:13" ht="15.75">
      <c r="A8" s="175"/>
      <c r="B8" s="112" t="s">
        <v>22</v>
      </c>
      <c r="C8" s="176"/>
      <c r="D8" s="166"/>
      <c r="E8" s="168"/>
      <c r="F8" s="112" t="s">
        <v>22</v>
      </c>
      <c r="G8" s="176"/>
      <c r="H8" s="166"/>
      <c r="I8" s="166"/>
      <c r="J8" s="173"/>
      <c r="K8" s="173"/>
      <c r="L8" s="166"/>
      <c r="M8" s="166"/>
    </row>
    <row r="9" spans="1:13" ht="15.75">
      <c r="A9" s="39" t="s">
        <v>13</v>
      </c>
      <c r="B9" s="111"/>
      <c r="C9" s="37"/>
      <c r="D9" s="37"/>
      <c r="E9" s="37"/>
      <c r="F9" s="111"/>
      <c r="G9" s="37"/>
      <c r="H9" s="37"/>
      <c r="I9" s="37"/>
      <c r="J9" s="37"/>
      <c r="K9" s="37"/>
      <c r="L9" s="37"/>
      <c r="M9" s="12"/>
    </row>
    <row r="10" spans="1:13" ht="15.75">
      <c r="A10" s="51" t="s">
        <v>111</v>
      </c>
      <c r="B10" s="7">
        <v>38859</v>
      </c>
      <c r="C10" s="7">
        <f>+B10+4344+600+2761+1200</f>
        <v>47764</v>
      </c>
      <c r="D10" s="7">
        <f>11200+7999</f>
        <v>19199</v>
      </c>
      <c r="E10" s="33">
        <f>D10/C10*100</f>
        <v>40.19554476174525</v>
      </c>
      <c r="F10" s="7">
        <v>61517</v>
      </c>
      <c r="G10" s="7">
        <v>81154</v>
      </c>
      <c r="H10" s="89">
        <v>30661</v>
      </c>
      <c r="I10" s="33">
        <f>H10/G10*100</f>
        <v>37.78125539098504</v>
      </c>
      <c r="J10" s="7">
        <f>F10+B10+kiad1!B10+kiad1!F10+kiad1!J10</f>
        <v>211308</v>
      </c>
      <c r="K10" s="7">
        <f>G10+C10+kiad1!C10+kiad1!G10+kiad1!K10</f>
        <v>288448</v>
      </c>
      <c r="L10" s="7">
        <f>H10+D10+kiad1!D10+kiad1!H10+kiad1!L10</f>
        <v>149029</v>
      </c>
      <c r="M10" s="8">
        <f>L10/K10*100</f>
        <v>51.66581151542046</v>
      </c>
    </row>
    <row r="11" spans="1:13" ht="15.75">
      <c r="A11" s="38" t="s">
        <v>112</v>
      </c>
      <c r="B11" s="9"/>
      <c r="C11" s="9"/>
      <c r="D11" s="9"/>
      <c r="E11" s="33"/>
      <c r="F11" s="7">
        <v>3451</v>
      </c>
      <c r="G11" s="7">
        <f>+F11</f>
        <v>3451</v>
      </c>
      <c r="H11" s="89">
        <v>2007</v>
      </c>
      <c r="I11" s="33">
        <f>H11/G11*100</f>
        <v>58.157055925818604</v>
      </c>
      <c r="J11" s="7">
        <f>F11+B11+kiad1!B11+kiad1!F11+kiad1!J11</f>
        <v>22562</v>
      </c>
      <c r="K11" s="7">
        <f>G11+C11+kiad1!K11+kiad1!G11+kiad1!C11</f>
        <v>23133</v>
      </c>
      <c r="L11" s="7">
        <f>H11+D11+kiad1!L11+kiad1!H11+kiad1!D11</f>
        <v>10332</v>
      </c>
      <c r="M11" s="8">
        <f aca="true" t="shared" si="0" ref="M11:M23">L11/K11*100</f>
        <v>44.663467773310856</v>
      </c>
    </row>
    <row r="12" spans="1:13" ht="15.75">
      <c r="A12" s="39" t="s">
        <v>124</v>
      </c>
      <c r="B12" s="11">
        <f>SUM(B10:B11)</f>
        <v>38859</v>
      </c>
      <c r="C12" s="11">
        <f>SUM(C10:C11)</f>
        <v>47764</v>
      </c>
      <c r="D12" s="11">
        <f>SUM(D10:D11)</f>
        <v>19199</v>
      </c>
      <c r="E12" s="34">
        <f>D12/C12*100</f>
        <v>40.19554476174525</v>
      </c>
      <c r="F12" s="11">
        <f>SUM(F10:F11)</f>
        <v>64968</v>
      </c>
      <c r="G12" s="11">
        <f>SUM(G10:G11)</f>
        <v>84605</v>
      </c>
      <c r="H12" s="11">
        <f>SUM(H10:H11)</f>
        <v>32668</v>
      </c>
      <c r="I12" s="34">
        <f>H12/G12*100</f>
        <v>38.612375155132675</v>
      </c>
      <c r="J12" s="11">
        <f>F12+B12+kiad1!B12+kiad1!F12+kiad1!J12</f>
        <v>233870</v>
      </c>
      <c r="K12" s="11">
        <f>G12+C12+kiad1!C12+kiad1!G12+kiad1!K12</f>
        <v>311581</v>
      </c>
      <c r="L12" s="11">
        <f>H12+D12+kiad1!D12+kiad1!H12+kiad1!L12</f>
        <v>159361</v>
      </c>
      <c r="M12" s="12">
        <f t="shared" si="0"/>
        <v>51.14592995079931</v>
      </c>
    </row>
    <row r="13" spans="1:13" ht="15.75">
      <c r="A13" s="39" t="s">
        <v>23</v>
      </c>
      <c r="B13" s="11"/>
      <c r="C13" s="11"/>
      <c r="D13" s="11"/>
      <c r="E13" s="33"/>
      <c r="F13" s="11" t="s">
        <v>114</v>
      </c>
      <c r="G13" s="11"/>
      <c r="H13" s="11"/>
      <c r="I13" s="33"/>
      <c r="J13" s="7"/>
      <c r="K13" s="11"/>
      <c r="L13" s="11"/>
      <c r="M13" s="8"/>
    </row>
    <row r="14" spans="1:13" ht="15.75">
      <c r="A14" s="38" t="s">
        <v>85</v>
      </c>
      <c r="B14" s="9"/>
      <c r="C14" s="9"/>
      <c r="D14" s="9"/>
      <c r="E14" s="33"/>
      <c r="F14" s="7"/>
      <c r="G14" s="7"/>
      <c r="H14" s="7"/>
      <c r="I14" s="33"/>
      <c r="J14" s="7">
        <f>F14+B14+kiad1!B14+kiad1!F14+kiad1!J14</f>
        <v>8412</v>
      </c>
      <c r="K14" s="7">
        <f>G14+C14+kiad1!C14+kiad1!G14+kiad1!K14</f>
        <v>8412</v>
      </c>
      <c r="L14" s="7">
        <f>H14+D14+kiad1!D14+kiad1!H14+kiad1!L14</f>
        <v>3008</v>
      </c>
      <c r="M14" s="8">
        <f t="shared" si="0"/>
        <v>35.7584403233476</v>
      </c>
    </row>
    <row r="15" spans="1:13" ht="15.75">
      <c r="A15" s="38" t="s">
        <v>132</v>
      </c>
      <c r="B15" s="9"/>
      <c r="C15" s="9"/>
      <c r="D15" s="9"/>
      <c r="E15" s="33"/>
      <c r="F15" s="7"/>
      <c r="G15" s="7"/>
      <c r="H15" s="7"/>
      <c r="I15" s="33"/>
      <c r="J15" s="7">
        <f>F15+B15+kiad1!B15+kiad1!F15+kiad1!J15</f>
        <v>2040</v>
      </c>
      <c r="K15" s="7">
        <f>G15+C15+kiad1!C15+kiad1!G15+kiad1!K15</f>
        <v>2040</v>
      </c>
      <c r="L15" s="7">
        <f>H15+D15+kiad1!D15+kiad1!H15+kiad1!L15</f>
        <v>141</v>
      </c>
      <c r="M15" s="8">
        <f t="shared" si="0"/>
        <v>6.911764705882353</v>
      </c>
    </row>
    <row r="16" spans="1:13" ht="15.75">
      <c r="A16" s="38" t="s">
        <v>133</v>
      </c>
      <c r="B16" s="7">
        <v>14280</v>
      </c>
      <c r="C16" s="7">
        <f>+B16</f>
        <v>14280</v>
      </c>
      <c r="D16" s="7">
        <v>1842</v>
      </c>
      <c r="E16" s="33">
        <f>D16/C16*100</f>
        <v>12.899159663865548</v>
      </c>
      <c r="F16" s="7"/>
      <c r="G16" s="7"/>
      <c r="H16" s="7"/>
      <c r="I16" s="33"/>
      <c r="J16" s="7">
        <f>F16+B16+kiad1!B16+kiad1!F16+kiad1!J16</f>
        <v>14280</v>
      </c>
      <c r="K16" s="7">
        <f>G16+C16+kiad1!C16+kiad1!G16+kiad1!K16</f>
        <v>14280</v>
      </c>
      <c r="L16" s="7">
        <f>H16+D16+kiad1!D16+kiad1!H16+kiad1!L16</f>
        <v>1842</v>
      </c>
      <c r="M16" s="8">
        <f t="shared" si="0"/>
        <v>12.899159663865548</v>
      </c>
    </row>
    <row r="17" spans="1:13" ht="15.75">
      <c r="A17" s="38" t="s">
        <v>138</v>
      </c>
      <c r="B17" s="9"/>
      <c r="C17" s="7"/>
      <c r="D17" s="9"/>
      <c r="E17" s="33"/>
      <c r="F17" s="9"/>
      <c r="G17" s="9"/>
      <c r="H17" s="9"/>
      <c r="I17" s="33"/>
      <c r="J17" s="7">
        <f>F17+B17+kiad1!B17+kiad1!F17+kiad1!J17</f>
        <v>0</v>
      </c>
      <c r="K17" s="7">
        <f>G17+C17+kiad1!C17+kiad1!G17+kiad1!K17</f>
        <v>0</v>
      </c>
      <c r="L17" s="7">
        <f>H17+D17+kiad1!D17+kiad1!H17+kiad1!L17</f>
        <v>1524</v>
      </c>
      <c r="M17" s="8"/>
    </row>
    <row r="18" spans="1:13" ht="15.75">
      <c r="A18" s="38" t="s">
        <v>86</v>
      </c>
      <c r="B18" s="7"/>
      <c r="C18" s="7"/>
      <c r="D18" s="7"/>
      <c r="E18" s="33"/>
      <c r="F18" s="7"/>
      <c r="G18" s="7"/>
      <c r="H18" s="7"/>
      <c r="I18" s="33"/>
      <c r="J18" s="7">
        <f>F18+B18+kiad1!B18+kiad1!F18+kiad1!J18</f>
        <v>5088</v>
      </c>
      <c r="K18" s="7">
        <f>G18+C18+kiad1!C18+kiad1!G18+kiad1!K18</f>
        <v>5088</v>
      </c>
      <c r="L18" s="7">
        <f>H18+D18+kiad1!D18+kiad1!H18+kiad1!L18</f>
        <v>3649</v>
      </c>
      <c r="M18" s="8">
        <f t="shared" si="0"/>
        <v>71.71776729559748</v>
      </c>
    </row>
    <row r="19" spans="1:13" ht="16.5" customHeight="1">
      <c r="A19" s="38" t="s">
        <v>93</v>
      </c>
      <c r="B19" s="9"/>
      <c r="C19" s="9"/>
      <c r="D19" s="9"/>
      <c r="E19" s="33"/>
      <c r="F19" s="9"/>
      <c r="G19" s="9"/>
      <c r="H19" s="9"/>
      <c r="I19" s="33"/>
      <c r="J19" s="7">
        <f>F19+B19+kiad1!B19+kiad1!F19+kiad1!J19</f>
        <v>770</v>
      </c>
      <c r="K19" s="7">
        <f>G19+C19+kiad1!C19+kiad1!G19+kiad1!K19</f>
        <v>770</v>
      </c>
      <c r="L19" s="7">
        <f>H19+D19+kiad1!D19+kiad1!H19+kiad1!L19</f>
        <v>449</v>
      </c>
      <c r="M19" s="8">
        <f t="shared" si="0"/>
        <v>58.311688311688314</v>
      </c>
    </row>
    <row r="20" spans="1:13" ht="15.75">
      <c r="A20" s="38" t="s">
        <v>87</v>
      </c>
      <c r="B20" s="9"/>
      <c r="C20" s="9"/>
      <c r="D20" s="9"/>
      <c r="E20" s="33"/>
      <c r="F20" s="9"/>
      <c r="G20" s="9"/>
      <c r="H20" s="9"/>
      <c r="I20" s="33"/>
      <c r="J20" s="7">
        <f>F20+B20+kiad1!B20+kiad1!F20+kiad1!J20</f>
        <v>2846</v>
      </c>
      <c r="K20" s="7">
        <f>G20+C20+kiad1!C20+kiad1!G20+kiad1!K20</f>
        <v>2846</v>
      </c>
      <c r="L20" s="7">
        <f>H20+D20+kiad1!D20+kiad1!H20+kiad1!L20</f>
        <v>660</v>
      </c>
      <c r="M20" s="8">
        <f t="shared" si="0"/>
        <v>23.190442726633872</v>
      </c>
    </row>
    <row r="21" spans="1:13" ht="15.75">
      <c r="A21" s="38" t="s">
        <v>88</v>
      </c>
      <c r="B21" s="9"/>
      <c r="C21" s="9"/>
      <c r="D21" s="9"/>
      <c r="E21" s="33"/>
      <c r="F21" s="9"/>
      <c r="G21" s="9"/>
      <c r="H21" s="9"/>
      <c r="I21" s="33"/>
      <c r="J21" s="7">
        <f>F21+B21+kiad1!B21+kiad1!F21+kiad1!J21</f>
        <v>10878</v>
      </c>
      <c r="K21" s="7">
        <f>G21+C21+kiad1!C21+kiad1!G21+kiad1!K21</f>
        <v>10878</v>
      </c>
      <c r="L21" s="7">
        <f>H21+D21+kiad1!D21+kiad1!H21+kiad1!L21</f>
        <v>5276</v>
      </c>
      <c r="M21" s="8">
        <f t="shared" si="0"/>
        <v>48.501562787277074</v>
      </c>
    </row>
    <row r="22" spans="1:13" ht="15.75">
      <c r="A22" s="41" t="s">
        <v>89</v>
      </c>
      <c r="B22" s="7"/>
      <c r="C22" s="7"/>
      <c r="D22" s="9"/>
      <c r="E22" s="33"/>
      <c r="F22" s="7"/>
      <c r="G22" s="7"/>
      <c r="H22" s="9"/>
      <c r="I22" s="33"/>
      <c r="J22" s="7">
        <f>F22+B22+kiad1!B22+kiad1!F22+kiad1!J22</f>
        <v>5791</v>
      </c>
      <c r="K22" s="7">
        <f>G22+C22+kiad1!C22+kiad1!G22+kiad1!K22</f>
        <v>5791</v>
      </c>
      <c r="L22" s="7">
        <f>H22+D22+kiad1!D22+kiad1!H22+kiad1!L22</f>
        <v>3282</v>
      </c>
      <c r="M22" s="8">
        <f t="shared" si="0"/>
        <v>56.67414954239337</v>
      </c>
    </row>
    <row r="23" spans="1:13" ht="15.75">
      <c r="A23" s="41" t="s">
        <v>94</v>
      </c>
      <c r="B23" s="9"/>
      <c r="C23" s="9"/>
      <c r="D23" s="7"/>
      <c r="E23" s="33"/>
      <c r="F23" s="9"/>
      <c r="G23" s="9"/>
      <c r="H23" s="9"/>
      <c r="I23" s="33"/>
      <c r="J23" s="7">
        <f>F23+B23+kiad1!B23+kiad1!F23+kiad1!J23</f>
        <v>692</v>
      </c>
      <c r="K23" s="7">
        <f>G23+C23+kiad1!C23+kiad1!G23+kiad1!K23</f>
        <v>692</v>
      </c>
      <c r="L23" s="7">
        <f>kiad1!D23+kiad1!H23+kiad1!L23</f>
        <v>276</v>
      </c>
      <c r="M23" s="8">
        <f t="shared" si="0"/>
        <v>39.884393063583815</v>
      </c>
    </row>
    <row r="24" spans="1:13" ht="15.75">
      <c r="A24" s="41" t="s">
        <v>95</v>
      </c>
      <c r="B24" s="41"/>
      <c r="C24" s="41"/>
      <c r="D24" s="41"/>
      <c r="E24" s="33"/>
      <c r="F24" s="41"/>
      <c r="G24" s="41"/>
      <c r="H24" s="41"/>
      <c r="I24" s="33"/>
      <c r="J24" s="7">
        <f>F24+B24+kiad1!B24+kiad1!F24+kiad1!J24</f>
        <v>94</v>
      </c>
      <c r="K24" s="7">
        <f>G24+C24+kiad1!C24+kiad1!G24+kiad1!K24</f>
        <v>94</v>
      </c>
      <c r="L24" s="7">
        <f>H24+D24+kiad1!D24+kiad1!H24+kiad1!L24</f>
        <v>0</v>
      </c>
      <c r="M24" s="8"/>
    </row>
    <row r="25" spans="1:13" ht="15.75" customHeight="1">
      <c r="A25" s="144" t="s">
        <v>131</v>
      </c>
      <c r="B25" s="41"/>
      <c r="C25" s="41"/>
      <c r="D25" s="41"/>
      <c r="E25" s="33"/>
      <c r="F25" s="41"/>
      <c r="G25" s="41"/>
      <c r="H25" s="41"/>
      <c r="I25" s="30"/>
      <c r="J25" s="7">
        <f>F25+B25+kiad1!B25+kiad1!F25+kiad1!J25</f>
        <v>0</v>
      </c>
      <c r="K25" s="7">
        <f>G25+C25+kiad1!C25+kiad1!G25+kiad1!K25</f>
        <v>0</v>
      </c>
      <c r="L25" s="7">
        <f>H25+D25+kiad1!D25+kiad1!H25+kiad1!L25</f>
        <v>158</v>
      </c>
      <c r="M25" s="8"/>
    </row>
    <row r="26" spans="1:13" ht="15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</row>
    <row r="27" spans="1:13" ht="15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</row>
    <row r="28" spans="1:13" ht="15.75">
      <c r="A28" s="174">
        <v>2</v>
      </c>
      <c r="B28" s="174"/>
      <c r="C28" s="174"/>
      <c r="D28" s="174"/>
      <c r="E28" s="174"/>
      <c r="F28" s="174"/>
      <c r="G28" s="174"/>
      <c r="H28" s="174"/>
      <c r="I28" s="174"/>
      <c r="J28" s="174"/>
      <c r="K28" s="174"/>
      <c r="L28" s="174"/>
      <c r="M28" s="174"/>
    </row>
    <row r="29" spans="1:13" ht="15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1:13" ht="15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1:13" ht="15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</row>
    <row r="32" spans="1:13" ht="15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1:13" ht="15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</row>
    <row r="34" spans="1:13" ht="15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</row>
  </sheetData>
  <mergeCells count="17">
    <mergeCell ref="A2:M2"/>
    <mergeCell ref="A3:M3"/>
    <mergeCell ref="G7:G8"/>
    <mergeCell ref="F6:I6"/>
    <mergeCell ref="J6:M6"/>
    <mergeCell ref="L7:L8"/>
    <mergeCell ref="M7:M8"/>
    <mergeCell ref="B6:E6"/>
    <mergeCell ref="A28:M28"/>
    <mergeCell ref="A7:A8"/>
    <mergeCell ref="E7:E8"/>
    <mergeCell ref="H7:H8"/>
    <mergeCell ref="I7:I8"/>
    <mergeCell ref="C7:C8"/>
    <mergeCell ref="D7:D8"/>
    <mergeCell ref="J7:J8"/>
    <mergeCell ref="K7:K8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3"/>
  <sheetViews>
    <sheetView zoomScale="90" zoomScaleNormal="90" zoomScaleSheetLayoutView="75" workbookViewId="0" topLeftCell="B1">
      <selection activeCell="J21" sqref="J21:L21"/>
    </sheetView>
  </sheetViews>
  <sheetFormatPr defaultColWidth="9.140625" defaultRowHeight="12.75"/>
  <cols>
    <col min="1" max="1" width="44.57421875" style="0" customWidth="1"/>
    <col min="2" max="2" width="11.421875" style="0" customWidth="1"/>
    <col min="3" max="3" width="12.28125" style="0" customWidth="1"/>
    <col min="4" max="4" width="10.00390625" style="0" customWidth="1"/>
    <col min="5" max="5" width="10.421875" style="0" customWidth="1"/>
    <col min="6" max="6" width="11.57421875" style="0" customWidth="1"/>
    <col min="7" max="7" width="12.00390625" style="0" customWidth="1"/>
    <col min="8" max="8" width="9.8515625" style="0" customWidth="1"/>
    <col min="9" max="9" width="10.28125" style="0" customWidth="1"/>
    <col min="10" max="10" width="12.8515625" style="0" customWidth="1"/>
    <col min="11" max="11" width="11.28125" style="0" customWidth="1"/>
    <col min="12" max="12" width="9.7109375" style="0" customWidth="1"/>
    <col min="13" max="13" width="10.28125" style="0" customWidth="1"/>
  </cols>
  <sheetData>
    <row r="1" ht="15.75">
      <c r="M1" s="52" t="s">
        <v>0</v>
      </c>
    </row>
    <row r="2" spans="1:13" ht="18.75">
      <c r="A2" s="177" t="s">
        <v>1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</row>
    <row r="3" spans="1:13" s="3" customFormat="1" ht="18.75">
      <c r="A3" s="177" t="s">
        <v>122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</row>
    <row r="4" spans="1:13" ht="15.75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</row>
    <row r="5" spans="1:13" ht="15.75">
      <c r="A5" s="52"/>
      <c r="B5" s="60"/>
      <c r="C5" s="60"/>
      <c r="D5" s="60"/>
      <c r="E5" s="60"/>
      <c r="F5" s="60"/>
      <c r="G5" s="60"/>
      <c r="H5" s="60"/>
      <c r="I5" s="6"/>
      <c r="J5" s="60"/>
      <c r="K5" s="60"/>
      <c r="L5" s="60"/>
      <c r="M5" s="52" t="s">
        <v>2</v>
      </c>
    </row>
    <row r="6" spans="1:13" ht="15.75">
      <c r="A6" s="35"/>
      <c r="B6" s="165" t="s">
        <v>3</v>
      </c>
      <c r="C6" s="166"/>
      <c r="D6" s="166"/>
      <c r="E6" s="165"/>
      <c r="F6" s="165" t="s">
        <v>4</v>
      </c>
      <c r="G6" s="165"/>
      <c r="H6" s="166"/>
      <c r="I6" s="165"/>
      <c r="J6" s="165" t="s">
        <v>65</v>
      </c>
      <c r="K6" s="165"/>
      <c r="L6" s="166"/>
      <c r="M6" s="165"/>
    </row>
    <row r="7" spans="1:13" ht="15.75">
      <c r="A7" s="114" t="s">
        <v>5</v>
      </c>
      <c r="B7" s="113" t="s">
        <v>6</v>
      </c>
      <c r="C7" s="169" t="s">
        <v>8</v>
      </c>
      <c r="D7" s="168" t="s">
        <v>9</v>
      </c>
      <c r="E7" s="118" t="s">
        <v>9</v>
      </c>
      <c r="F7" s="113" t="s">
        <v>6</v>
      </c>
      <c r="G7" s="113" t="s">
        <v>11</v>
      </c>
      <c r="H7" s="170" t="s">
        <v>9</v>
      </c>
      <c r="I7" s="118" t="s">
        <v>9</v>
      </c>
      <c r="J7" s="113" t="s">
        <v>6</v>
      </c>
      <c r="K7" s="113" t="s">
        <v>11</v>
      </c>
      <c r="L7" s="170" t="s">
        <v>9</v>
      </c>
      <c r="M7" s="113" t="s">
        <v>9</v>
      </c>
    </row>
    <row r="8" spans="1:13" ht="15.75">
      <c r="A8" s="120"/>
      <c r="B8" s="117" t="s">
        <v>7</v>
      </c>
      <c r="C8" s="169"/>
      <c r="D8" s="168"/>
      <c r="E8" s="119" t="s">
        <v>10</v>
      </c>
      <c r="F8" s="117" t="s">
        <v>7</v>
      </c>
      <c r="G8" s="117" t="s">
        <v>7</v>
      </c>
      <c r="H8" s="170"/>
      <c r="I8" s="119" t="s">
        <v>12</v>
      </c>
      <c r="J8" s="117" t="s">
        <v>7</v>
      </c>
      <c r="K8" s="117" t="s">
        <v>7</v>
      </c>
      <c r="L8" s="170"/>
      <c r="M8" s="117" t="s">
        <v>12</v>
      </c>
    </row>
    <row r="9" spans="1:13" ht="15.75">
      <c r="A9" s="51" t="s">
        <v>46</v>
      </c>
      <c r="B9" s="109"/>
      <c r="C9" s="9"/>
      <c r="D9" s="9"/>
      <c r="E9" s="108"/>
      <c r="F9" s="121">
        <v>3407</v>
      </c>
      <c r="G9" s="121">
        <f>+F9</f>
        <v>3407</v>
      </c>
      <c r="H9" s="7">
        <v>1782</v>
      </c>
      <c r="I9" s="122">
        <f>H9/G9*100</f>
        <v>52.30407983563252</v>
      </c>
      <c r="J9" s="121"/>
      <c r="K9" s="121"/>
      <c r="L9" s="7"/>
      <c r="M9" s="122"/>
    </row>
    <row r="10" spans="1:13" s="16" customFormat="1" ht="15.75">
      <c r="A10" s="38" t="s">
        <v>67</v>
      </c>
      <c r="B10" s="9"/>
      <c r="C10" s="9"/>
      <c r="D10" s="9"/>
      <c r="E10" s="31"/>
      <c r="F10" s="9"/>
      <c r="G10" s="9"/>
      <c r="H10" s="9"/>
      <c r="I10" s="33"/>
      <c r="J10" s="9"/>
      <c r="K10" s="9"/>
      <c r="L10" s="9"/>
      <c r="M10" s="33"/>
    </row>
    <row r="11" spans="1:13" ht="15.75">
      <c r="A11" s="38" t="s">
        <v>47</v>
      </c>
      <c r="B11" s="9"/>
      <c r="C11" s="9"/>
      <c r="D11" s="9"/>
      <c r="E11" s="31"/>
      <c r="F11" s="9"/>
      <c r="G11" s="9"/>
      <c r="H11" s="9"/>
      <c r="I11" s="33"/>
      <c r="J11" s="9"/>
      <c r="K11" s="9"/>
      <c r="L11" s="7">
        <v>26</v>
      </c>
      <c r="M11" s="33"/>
    </row>
    <row r="12" spans="1:13" ht="15.75">
      <c r="A12" s="38" t="s">
        <v>48</v>
      </c>
      <c r="B12" s="9"/>
      <c r="C12" s="9"/>
      <c r="D12" s="9"/>
      <c r="E12" s="31"/>
      <c r="F12" s="9"/>
      <c r="G12" s="9"/>
      <c r="H12" s="9"/>
      <c r="I12" s="33"/>
      <c r="J12" s="9"/>
      <c r="K12" s="9"/>
      <c r="L12" s="9"/>
      <c r="M12" s="33"/>
    </row>
    <row r="13" spans="1:13" ht="15.75">
      <c r="A13" s="38" t="s">
        <v>49</v>
      </c>
      <c r="B13" s="9"/>
      <c r="C13" s="9"/>
      <c r="D13" s="9"/>
      <c r="E13" s="31"/>
      <c r="F13" s="9"/>
      <c r="G13" s="9"/>
      <c r="H13" s="9"/>
      <c r="I13" s="33"/>
      <c r="J13" s="7">
        <v>810</v>
      </c>
      <c r="K13" s="7">
        <f>+J13</f>
        <v>810</v>
      </c>
      <c r="L13" s="7"/>
      <c r="M13" s="33">
        <f aca="true" t="shared" si="0" ref="M13:M28">L13/K13*100</f>
        <v>0</v>
      </c>
    </row>
    <row r="14" spans="1:13" ht="15.75">
      <c r="A14" s="38" t="s">
        <v>27</v>
      </c>
      <c r="B14" s="9"/>
      <c r="C14" s="9"/>
      <c r="D14" s="9"/>
      <c r="E14" s="31"/>
      <c r="F14" s="9"/>
      <c r="G14" s="9"/>
      <c r="H14" s="9"/>
      <c r="I14" s="33"/>
      <c r="J14" s="7">
        <v>2844</v>
      </c>
      <c r="K14" s="7">
        <f>+J14</f>
        <v>2844</v>
      </c>
      <c r="L14" s="7">
        <v>606</v>
      </c>
      <c r="M14" s="33">
        <f t="shared" si="0"/>
        <v>21.308016877637133</v>
      </c>
    </row>
    <row r="15" spans="1:13" ht="15.75">
      <c r="A15" s="38" t="s">
        <v>28</v>
      </c>
      <c r="B15" s="9"/>
      <c r="C15" s="9"/>
      <c r="D15" s="9"/>
      <c r="E15" s="31"/>
      <c r="F15" s="9"/>
      <c r="G15" s="9"/>
      <c r="H15" s="9"/>
      <c r="I15" s="33"/>
      <c r="J15" s="7">
        <v>105</v>
      </c>
      <c r="K15" s="7">
        <f>+J15</f>
        <v>105</v>
      </c>
      <c r="L15" s="7">
        <v>13</v>
      </c>
      <c r="M15" s="33">
        <f t="shared" si="0"/>
        <v>12.380952380952381</v>
      </c>
    </row>
    <row r="16" spans="1:13" ht="15.75">
      <c r="A16" s="38" t="s">
        <v>125</v>
      </c>
      <c r="B16" s="9"/>
      <c r="C16" s="9"/>
      <c r="D16" s="9"/>
      <c r="E16" s="31"/>
      <c r="F16" s="9"/>
      <c r="G16" s="9"/>
      <c r="H16" s="9"/>
      <c r="I16" s="33"/>
      <c r="J16" s="7">
        <v>5</v>
      </c>
      <c r="K16" s="7">
        <f>+J16</f>
        <v>5</v>
      </c>
      <c r="L16" s="7">
        <v>6</v>
      </c>
      <c r="M16" s="33">
        <f t="shared" si="0"/>
        <v>120</v>
      </c>
    </row>
    <row r="17" spans="1:13" ht="15.75">
      <c r="A17" s="38" t="s">
        <v>61</v>
      </c>
      <c r="B17" s="9"/>
      <c r="C17" s="9"/>
      <c r="D17" s="9"/>
      <c r="E17" s="31"/>
      <c r="F17" s="9"/>
      <c r="G17" s="9"/>
      <c r="H17" s="9"/>
      <c r="I17" s="33"/>
      <c r="J17" s="7">
        <v>4980</v>
      </c>
      <c r="K17" s="7">
        <v>5174</v>
      </c>
      <c r="L17" s="7">
        <v>2708</v>
      </c>
      <c r="M17" s="33">
        <f t="shared" si="0"/>
        <v>52.338616157711634</v>
      </c>
    </row>
    <row r="18" spans="1:13" ht="15.75">
      <c r="A18" s="38" t="s">
        <v>113</v>
      </c>
      <c r="B18" s="9"/>
      <c r="C18" s="9"/>
      <c r="D18" s="9"/>
      <c r="E18" s="31"/>
      <c r="F18" s="9"/>
      <c r="G18" s="9"/>
      <c r="H18" s="9"/>
      <c r="I18" s="33"/>
      <c r="J18" s="7"/>
      <c r="K18" s="7"/>
      <c r="L18" s="7"/>
      <c r="M18" s="33"/>
    </row>
    <row r="19" spans="1:13" ht="15.75">
      <c r="A19" s="38" t="s">
        <v>126</v>
      </c>
      <c r="B19" s="9"/>
      <c r="C19" s="9"/>
      <c r="D19" s="9"/>
      <c r="E19" s="31"/>
      <c r="F19" s="9"/>
      <c r="G19" s="9"/>
      <c r="H19" s="9"/>
      <c r="I19" s="33"/>
      <c r="J19" s="7"/>
      <c r="K19" s="7"/>
      <c r="L19" s="7"/>
      <c r="M19" s="33"/>
    </row>
    <row r="20" spans="1:13" ht="15.75">
      <c r="A20" s="141" t="s">
        <v>127</v>
      </c>
      <c r="B20" s="9"/>
      <c r="C20" s="9"/>
      <c r="D20" s="9"/>
      <c r="E20" s="31"/>
      <c r="F20" s="9"/>
      <c r="G20" s="9"/>
      <c r="H20" s="9"/>
      <c r="I20" s="33"/>
      <c r="J20" s="7"/>
      <c r="K20" s="7"/>
      <c r="L20" s="7"/>
      <c r="M20" s="33"/>
    </row>
    <row r="21" spans="1:13" s="16" customFormat="1" ht="15.75">
      <c r="A21" s="39" t="s">
        <v>117</v>
      </c>
      <c r="B21" s="11">
        <f>B20+B17+B16+B15+B14+B13+B12+B11+B10+B9+kiad1!B24+kiad1!B23+kiad1!B22+kiad1!B21+kiad1!B20+kiad1!B19+kiad1!B18+kiad1!B17+kiad1!B15+kiad1!B14+kiad1!B16+kiad1!B25</f>
        <v>6222</v>
      </c>
      <c r="C21" s="11">
        <f>C20+C17+C16+C15+C14+C13+C12+C11+C10+C9+kiad1!C24+kiad1!C23+kiad1!C22+kiad1!C21+kiad1!C20+kiad1!C19+kiad1!C18+kiad1!C17+kiad1!C15+kiad1!C14+kiad1!C16+kiad1!C25</f>
        <v>6222</v>
      </c>
      <c r="D21" s="11">
        <f>D20+D17+D16+D15+D14+D13+D12+D11+D10+D9+kiad1!D24+kiad1!D23+kiad1!D22+kiad1!D21+kiad1!D20+kiad1!D19+kiad1!D18+kiad1!D17+kiad1!D15+kiad1!D14+kiad1!D16+kiad1!D25</f>
        <v>3328</v>
      </c>
      <c r="E21" s="34">
        <f>D21/C21*100</f>
        <v>53.48762455801993</v>
      </c>
      <c r="F21" s="11">
        <f>F20+F17+F16+F15+F14+F13+F12+F11+F10+F9+kiad1!F24+kiad1!F23+kiad1!F22+kiad1!F21+kiad1!F20+kiad1!F19+kiad1!F18+kiad1!F17+kiad1!F15+kiad1!F14+kiad1!F16+kiad1!F25</f>
        <v>5602</v>
      </c>
      <c r="G21" s="11">
        <f>G20+G17+G16+G15+G14+G13+G12+G11+G10+G9+kiad1!G24+kiad1!G23+kiad1!G22+kiad1!G21+kiad1!G20+kiad1!G19+kiad1!G18+kiad1!G17+kiad1!G15+kiad1!G14+kiad1!G16+kiad1!G25</f>
        <v>5602</v>
      </c>
      <c r="H21" s="11">
        <f>H20+H17+H16+H15+H14+H13+H12+H11+H10+H9+kiad1!H24+kiad1!H23+kiad1!H22+kiad1!H21+kiad1!H20+kiad1!H19+kiad1!H18+kiad1!H17+kiad1!H15+kiad1!H14+kiad1!H16+kiad1!H25</f>
        <v>2838</v>
      </c>
      <c r="I21" s="34">
        <f>H21/G21*100</f>
        <v>50.66047840057123</v>
      </c>
      <c r="J21" s="11">
        <f>J20+J17+J16+J15+J14+J13+J12+J11+J10+J9+kiad1!J24+kiad1!J23+kiad1!J22+kiad1!J21+kiad1!J20+kiad1!J19+kiad1!J18+kiad1!J17+kiad1!J15+kiad1!J14+kiad1!J16+kiad1!J25</f>
        <v>36938</v>
      </c>
      <c r="K21" s="11">
        <f>K20+K17+K16+K15+K14+K13+K12+K11+K10+K9+kiad1!K24+kiad1!K23+kiad1!K22+kiad1!K21+kiad1!K20+kiad1!K19+kiad1!K18+kiad1!K17+kiad1!K15+kiad1!K14+kiad1!K16+kiad1!K25</f>
        <v>37132</v>
      </c>
      <c r="L21" s="11">
        <f>L20+L17+L16+L15+L14+L13+L12+L11+L10+L9+kiad1!L24+kiad1!L23+kiad1!L22+kiad1!L21+kiad1!L20+kiad1!L19+kiad1!L18+kiad1!L17+kiad1!L15+kiad1!L14+kiad1!L16+kiad1!L25</f>
        <v>17398</v>
      </c>
      <c r="M21" s="34">
        <f t="shared" si="0"/>
        <v>46.85446515135193</v>
      </c>
    </row>
    <row r="22" spans="1:13" s="16" customFormat="1" ht="15.75">
      <c r="A22" s="39" t="s">
        <v>50</v>
      </c>
      <c r="B22" s="11"/>
      <c r="C22" s="11"/>
      <c r="D22" s="11"/>
      <c r="E22" s="33"/>
      <c r="F22" s="50"/>
      <c r="G22" s="50"/>
      <c r="H22" s="50"/>
      <c r="I22" s="33"/>
      <c r="J22" s="50"/>
      <c r="K22" s="50"/>
      <c r="L22" s="50"/>
      <c r="M22" s="33"/>
    </row>
    <row r="23" spans="1:13" ht="15.75">
      <c r="A23" s="38" t="s">
        <v>30</v>
      </c>
      <c r="B23" s="7">
        <v>580</v>
      </c>
      <c r="C23" s="7">
        <f>+B23</f>
        <v>580</v>
      </c>
      <c r="D23" s="7">
        <v>356</v>
      </c>
      <c r="E23" s="33">
        <f>D23/C23*100</f>
        <v>61.37931034482759</v>
      </c>
      <c r="F23" s="7">
        <v>73</v>
      </c>
      <c r="G23" s="7">
        <f>+F23</f>
        <v>73</v>
      </c>
      <c r="H23" s="7">
        <v>42</v>
      </c>
      <c r="I23" s="33">
        <f>H23/G23*100</f>
        <v>57.534246575342465</v>
      </c>
      <c r="J23" s="7">
        <v>701</v>
      </c>
      <c r="K23" s="7">
        <f>+J23+139</f>
        <v>840</v>
      </c>
      <c r="L23" s="7">
        <v>497</v>
      </c>
      <c r="M23" s="33">
        <f t="shared" si="0"/>
        <v>59.166666666666664</v>
      </c>
    </row>
    <row r="24" spans="1:13" s="15" customFormat="1" ht="15.75">
      <c r="A24" s="38" t="s">
        <v>31</v>
      </c>
      <c r="B24" s="7">
        <v>600</v>
      </c>
      <c r="C24" s="7">
        <f>+B24</f>
        <v>600</v>
      </c>
      <c r="D24" s="7">
        <v>116</v>
      </c>
      <c r="E24" s="33">
        <f>D24/C24*100</f>
        <v>19.333333333333332</v>
      </c>
      <c r="F24" s="7">
        <v>90</v>
      </c>
      <c r="G24" s="7">
        <f>+F24</f>
        <v>90</v>
      </c>
      <c r="H24" s="7">
        <v>18</v>
      </c>
      <c r="I24" s="33">
        <f>H24/G24*100</f>
        <v>20</v>
      </c>
      <c r="J24" s="7">
        <v>1256</v>
      </c>
      <c r="K24" s="7">
        <f>+J24</f>
        <v>1256</v>
      </c>
      <c r="L24" s="7">
        <v>110</v>
      </c>
      <c r="M24" s="33">
        <f t="shared" si="0"/>
        <v>8.75796178343949</v>
      </c>
    </row>
    <row r="25" spans="1:13" s="16" customFormat="1" ht="15.75">
      <c r="A25" s="39" t="s">
        <v>51</v>
      </c>
      <c r="B25" s="11">
        <f>B23+B24</f>
        <v>1180</v>
      </c>
      <c r="C25" s="11">
        <f>C23+C24</f>
        <v>1180</v>
      </c>
      <c r="D25" s="11">
        <f>D23+D24</f>
        <v>472</v>
      </c>
      <c r="E25" s="34">
        <f>D25/C25*100</f>
        <v>40</v>
      </c>
      <c r="F25" s="11">
        <f>F23+F24</f>
        <v>163</v>
      </c>
      <c r="G25" s="11">
        <f>G23+G24</f>
        <v>163</v>
      </c>
      <c r="H25" s="11">
        <f>H23+H24</f>
        <v>60</v>
      </c>
      <c r="I25" s="34">
        <f>H25/G25*100</f>
        <v>36.809815950920246</v>
      </c>
      <c r="J25" s="11">
        <f>J23+J24</f>
        <v>1957</v>
      </c>
      <c r="K25" s="11">
        <f>K23+K24</f>
        <v>2096</v>
      </c>
      <c r="L25" s="11">
        <f>L23+L24</f>
        <v>607</v>
      </c>
      <c r="M25" s="34">
        <f t="shared" si="0"/>
        <v>28.95992366412214</v>
      </c>
    </row>
    <row r="26" spans="1:13" s="16" customFormat="1" ht="15.75">
      <c r="A26" s="39" t="s">
        <v>96</v>
      </c>
      <c r="B26" s="7"/>
      <c r="C26" s="7"/>
      <c r="D26" s="7"/>
      <c r="E26" s="33"/>
      <c r="F26" s="9"/>
      <c r="G26" s="9"/>
      <c r="H26" s="9"/>
      <c r="I26" s="33"/>
      <c r="J26" s="7"/>
      <c r="K26" s="7"/>
      <c r="L26" s="7"/>
      <c r="M26" s="33"/>
    </row>
    <row r="27" spans="1:13" s="16" customFormat="1" ht="15.75">
      <c r="A27" s="38" t="s">
        <v>30</v>
      </c>
      <c r="B27" s="7">
        <v>622</v>
      </c>
      <c r="C27" s="7">
        <f>+B27</f>
        <v>622</v>
      </c>
      <c r="D27" s="7">
        <v>0</v>
      </c>
      <c r="E27" s="33">
        <f>D27/C27*100</f>
        <v>0</v>
      </c>
      <c r="F27" s="7">
        <v>171</v>
      </c>
      <c r="G27" s="7">
        <f>+F27</f>
        <v>171</v>
      </c>
      <c r="H27" s="7">
        <v>7</v>
      </c>
      <c r="I27" s="33">
        <f>H27/G27*100</f>
        <v>4.093567251461988</v>
      </c>
      <c r="J27" s="7">
        <v>1355</v>
      </c>
      <c r="K27" s="7">
        <f>+J27+37+32</f>
        <v>1424</v>
      </c>
      <c r="L27" s="7">
        <v>293</v>
      </c>
      <c r="M27" s="33">
        <f t="shared" si="0"/>
        <v>20.575842696629213</v>
      </c>
    </row>
    <row r="28" spans="1:13" s="16" customFormat="1" ht="15.75">
      <c r="A28" s="39" t="s">
        <v>97</v>
      </c>
      <c r="B28" s="11">
        <f>SUM(B27:B27)</f>
        <v>622</v>
      </c>
      <c r="C28" s="11">
        <f>SUM(C27:C27)</f>
        <v>622</v>
      </c>
      <c r="D28" s="11">
        <f>SUM(D27:D27)</f>
        <v>0</v>
      </c>
      <c r="E28" s="34">
        <f>D28/C28*100</f>
        <v>0</v>
      </c>
      <c r="F28" s="11">
        <f>SUM(F27:F27)</f>
        <v>171</v>
      </c>
      <c r="G28" s="11">
        <f>SUM(G27:G27)</f>
        <v>171</v>
      </c>
      <c r="H28" s="11">
        <f>SUM(H27:H27)</f>
        <v>7</v>
      </c>
      <c r="I28" s="34">
        <f>H28/G28*100</f>
        <v>4.093567251461988</v>
      </c>
      <c r="J28" s="11">
        <f>J27</f>
        <v>1355</v>
      </c>
      <c r="K28" s="11">
        <f>K27</f>
        <v>1424</v>
      </c>
      <c r="L28" s="11">
        <f>L27</f>
        <v>293</v>
      </c>
      <c r="M28" s="34">
        <f t="shared" si="0"/>
        <v>20.575842696629213</v>
      </c>
    </row>
    <row r="29" spans="1:13" s="16" customFormat="1" ht="15.75">
      <c r="A29" s="70"/>
      <c r="B29" s="71"/>
      <c r="C29" s="71"/>
      <c r="D29" s="71"/>
      <c r="E29" s="72"/>
      <c r="F29" s="71"/>
      <c r="G29" s="71"/>
      <c r="H29" s="71"/>
      <c r="I29" s="72"/>
      <c r="J29" s="71"/>
      <c r="K29" s="71"/>
      <c r="L29" s="71"/>
      <c r="M29" s="72"/>
    </row>
    <row r="30" spans="1:13" s="16" customFormat="1" ht="15.75">
      <c r="A30" s="70"/>
      <c r="B30" s="71"/>
      <c r="C30" s="71"/>
      <c r="D30" s="71"/>
      <c r="E30" s="72"/>
      <c r="F30" s="71"/>
      <c r="G30" s="71"/>
      <c r="H30" s="71"/>
      <c r="I30" s="72"/>
      <c r="J30" s="71"/>
      <c r="K30" s="71"/>
      <c r="L30" s="71"/>
      <c r="M30" s="72"/>
    </row>
    <row r="31" spans="1:13" ht="14.25" customHeight="1">
      <c r="A31" s="178">
        <v>3</v>
      </c>
      <c r="B31" s="178"/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</row>
    <row r="33" ht="12.75">
      <c r="K33" s="164"/>
    </row>
  </sheetData>
  <mergeCells count="10">
    <mergeCell ref="A2:M2"/>
    <mergeCell ref="A3:M3"/>
    <mergeCell ref="A31:M31"/>
    <mergeCell ref="J6:M6"/>
    <mergeCell ref="L7:L8"/>
    <mergeCell ref="B6:E6"/>
    <mergeCell ref="F6:I6"/>
    <mergeCell ref="C7:C8"/>
    <mergeCell ref="D7:D8"/>
    <mergeCell ref="H7:H8"/>
  </mergeCells>
  <printOptions horizontalCentered="1" verticalCentered="1"/>
  <pageMargins left="0.5905511811023623" right="0.5905511811023623" top="0.3937007874015748" bottom="0.3937007874015748" header="0.5118110236220472" footer="0.5118110236220472"/>
  <pageSetup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zoomScale="90" zoomScaleNormal="90" workbookViewId="0" topLeftCell="A1">
      <selection activeCell="G14" sqref="G14"/>
    </sheetView>
  </sheetViews>
  <sheetFormatPr defaultColWidth="9.140625" defaultRowHeight="12.75"/>
  <cols>
    <col min="1" max="1" width="46.140625" style="4" customWidth="1"/>
    <col min="2" max="2" width="9.57421875" style="4" customWidth="1"/>
    <col min="3" max="3" width="9.28125" style="4" bestFit="1" customWidth="1"/>
    <col min="4" max="4" width="12.7109375" style="4" customWidth="1"/>
    <col min="5" max="5" width="11.00390625" style="4" customWidth="1"/>
    <col min="6" max="7" width="9.28125" style="4" bestFit="1" customWidth="1"/>
    <col min="8" max="8" width="10.8515625" style="4" customWidth="1"/>
    <col min="9" max="9" width="11.28125" style="4" customWidth="1"/>
    <col min="10" max="11" width="9.28125" style="4" bestFit="1" customWidth="1"/>
    <col min="12" max="12" width="11.00390625" style="4" customWidth="1"/>
    <col min="13" max="13" width="11.8515625" style="4" customWidth="1"/>
    <col min="14" max="16384" width="9.140625" style="4" customWidth="1"/>
  </cols>
  <sheetData>
    <row r="1" spans="1:13" ht="15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5" t="s">
        <v>0</v>
      </c>
    </row>
    <row r="2" spans="1:13" ht="18.75">
      <c r="A2" s="167" t="s">
        <v>1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</row>
    <row r="3" spans="1:13" ht="18.75">
      <c r="A3" s="167" t="s">
        <v>122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</row>
    <row r="4" spans="1:12" ht="15.75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</row>
    <row r="5" spans="1:13" ht="15.75">
      <c r="A5" s="6"/>
      <c r="B5" s="6"/>
      <c r="C5" s="6"/>
      <c r="D5" s="6"/>
      <c r="E5" s="6"/>
      <c r="F5" s="6"/>
      <c r="G5" s="6"/>
      <c r="H5" s="6"/>
      <c r="I5" s="6"/>
      <c r="J5" s="6"/>
      <c r="K5" s="5"/>
      <c r="L5" s="6"/>
      <c r="M5" s="6"/>
    </row>
    <row r="6" spans="1:13" ht="15.7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171" t="s">
        <v>24</v>
      </c>
      <c r="M6" s="171"/>
    </row>
    <row r="7" spans="1:13" ht="15.75">
      <c r="A7" s="35"/>
      <c r="B7" s="172" t="s">
        <v>66</v>
      </c>
      <c r="C7" s="172"/>
      <c r="D7" s="173"/>
      <c r="E7" s="173"/>
      <c r="F7" s="172" t="s">
        <v>64</v>
      </c>
      <c r="G7" s="173"/>
      <c r="H7" s="173"/>
      <c r="I7" s="173"/>
      <c r="J7" s="173" t="s">
        <v>16</v>
      </c>
      <c r="K7" s="173"/>
      <c r="L7" s="173"/>
      <c r="M7" s="173"/>
    </row>
    <row r="8" spans="1:13" ht="15.75">
      <c r="A8" s="175" t="s">
        <v>5</v>
      </c>
      <c r="B8" s="124" t="s">
        <v>6</v>
      </c>
      <c r="C8" s="110" t="s">
        <v>17</v>
      </c>
      <c r="D8" s="169" t="s">
        <v>9</v>
      </c>
      <c r="E8" s="168" t="s">
        <v>18</v>
      </c>
      <c r="F8" s="110" t="s">
        <v>6</v>
      </c>
      <c r="G8" s="176" t="s">
        <v>19</v>
      </c>
      <c r="H8" s="166" t="s">
        <v>9</v>
      </c>
      <c r="I8" s="166" t="s">
        <v>20</v>
      </c>
      <c r="J8" s="173" t="s">
        <v>21</v>
      </c>
      <c r="K8" s="173" t="s">
        <v>19</v>
      </c>
      <c r="L8" s="166" t="s">
        <v>9</v>
      </c>
      <c r="M8" s="166" t="s">
        <v>20</v>
      </c>
    </row>
    <row r="9" spans="1:13" ht="15.75">
      <c r="A9" s="175"/>
      <c r="B9" s="125" t="s">
        <v>22</v>
      </c>
      <c r="C9" s="112" t="s">
        <v>22</v>
      </c>
      <c r="D9" s="169"/>
      <c r="E9" s="168"/>
      <c r="F9" s="112" t="s">
        <v>22</v>
      </c>
      <c r="G9" s="176"/>
      <c r="H9" s="166"/>
      <c r="I9" s="166"/>
      <c r="J9" s="173"/>
      <c r="K9" s="173"/>
      <c r="L9" s="166"/>
      <c r="M9" s="166"/>
    </row>
    <row r="10" spans="1:13" ht="15.75">
      <c r="A10" s="51" t="s">
        <v>46</v>
      </c>
      <c r="B10" s="109"/>
      <c r="C10" s="109"/>
      <c r="D10" s="9"/>
      <c r="E10" s="10"/>
      <c r="F10" s="123">
        <v>32574</v>
      </c>
      <c r="G10" s="7">
        <f>+F10</f>
        <v>32574</v>
      </c>
      <c r="H10" s="89">
        <v>18313</v>
      </c>
      <c r="I10" s="8">
        <f>H10/G10*100</f>
        <v>56.21968441087984</v>
      </c>
      <c r="J10" s="7">
        <f>F10+B10+kiad3!B9+kiad3!F9+kiad3!J9</f>
        <v>35981</v>
      </c>
      <c r="K10" s="7">
        <f>G10+C10+kiad3!C9+kiad3!G9+kiad3!K9</f>
        <v>35981</v>
      </c>
      <c r="L10" s="7">
        <f>H10+D10+kiad3!D9+kiad3!H9+kiad3!L9</f>
        <v>20095</v>
      </c>
      <c r="M10" s="33">
        <f>L10/K10*100</f>
        <v>55.848920263472394</v>
      </c>
    </row>
    <row r="11" spans="1:13" ht="15" customHeight="1">
      <c r="A11" s="38" t="s">
        <v>67</v>
      </c>
      <c r="B11" s="13"/>
      <c r="C11" s="13"/>
      <c r="D11" s="13"/>
      <c r="E11" s="10"/>
      <c r="F11" s="73">
        <v>33456</v>
      </c>
      <c r="G11" s="14">
        <f>+F11</f>
        <v>33456</v>
      </c>
      <c r="H11" s="145">
        <v>19551</v>
      </c>
      <c r="I11" s="8">
        <f>H11/G11*100</f>
        <v>58.437948350071736</v>
      </c>
      <c r="J11" s="7">
        <f>F11+B11+kiad3!B10+kiad3!F10+kiad3!J10</f>
        <v>33456</v>
      </c>
      <c r="K11" s="7">
        <f>G11+C11+kiad3!C10+kiad3!G10+kiad3!K10</f>
        <v>33456</v>
      </c>
      <c r="L11" s="7">
        <f>H11+D11+kiad3!D10+kiad3!H10+kiad3!L10</f>
        <v>19551</v>
      </c>
      <c r="M11" s="33">
        <f aca="true" t="shared" si="0" ref="M11:M29">L11/K11*100</f>
        <v>58.437948350071736</v>
      </c>
    </row>
    <row r="12" spans="1:13" ht="15.75">
      <c r="A12" s="38" t="s">
        <v>47</v>
      </c>
      <c r="B12" s="13"/>
      <c r="C12" s="13"/>
      <c r="D12" s="13"/>
      <c r="E12" s="10"/>
      <c r="F12" s="73">
        <v>9574</v>
      </c>
      <c r="G12" s="14">
        <v>9629</v>
      </c>
      <c r="H12" s="145">
        <v>4177</v>
      </c>
      <c r="I12" s="8">
        <f>H12/G12*100</f>
        <v>43.37937480527573</v>
      </c>
      <c r="J12" s="7">
        <f>F12+B12+kiad3!B11+kiad3!F11+kiad3!J11</f>
        <v>9574</v>
      </c>
      <c r="K12" s="7">
        <f>G12+C12+kiad3!C11+kiad3!G11+kiad3!K11</f>
        <v>9629</v>
      </c>
      <c r="L12" s="7">
        <f>H12+D12+kiad3!D11+kiad3!H11+kiad3!L11</f>
        <v>4203</v>
      </c>
      <c r="M12" s="33">
        <f t="shared" si="0"/>
        <v>43.649392460276246</v>
      </c>
    </row>
    <row r="13" spans="1:13" ht="15.75" customHeight="1">
      <c r="A13" s="38" t="s">
        <v>48</v>
      </c>
      <c r="B13" s="9"/>
      <c r="C13" s="9"/>
      <c r="D13" s="9"/>
      <c r="E13" s="10"/>
      <c r="F13" s="17">
        <v>814</v>
      </c>
      <c r="G13" s="7">
        <v>1769</v>
      </c>
      <c r="H13" s="89">
        <v>152</v>
      </c>
      <c r="I13" s="8">
        <f>H13/G13*100</f>
        <v>8.592425098925947</v>
      </c>
      <c r="J13" s="7">
        <f>F13+B13+kiad3!B12+kiad3!F12+kiad3!J12</f>
        <v>814</v>
      </c>
      <c r="K13" s="7">
        <f>G13+C13+kiad3!C12+kiad3!G12+kiad3!K12</f>
        <v>1769</v>
      </c>
      <c r="L13" s="7">
        <f>H13+D13+kiad3!D12+kiad3!H12+kiad3!L12</f>
        <v>152</v>
      </c>
      <c r="M13" s="33">
        <f t="shared" si="0"/>
        <v>8.592425098925947</v>
      </c>
    </row>
    <row r="14" spans="1:13" s="21" customFormat="1" ht="15.75">
      <c r="A14" s="38" t="s">
        <v>49</v>
      </c>
      <c r="B14" s="17">
        <v>24606</v>
      </c>
      <c r="C14" s="17">
        <f>+B14+2572</f>
        <v>27178</v>
      </c>
      <c r="D14" s="17">
        <v>7372</v>
      </c>
      <c r="E14" s="8">
        <f>D14/C14*100</f>
        <v>27.124880417985135</v>
      </c>
      <c r="F14" s="17"/>
      <c r="G14" s="7"/>
      <c r="H14" s="89"/>
      <c r="I14" s="8"/>
      <c r="J14" s="7">
        <f>F14+B14+kiad3!B13+kiad3!F13+kiad3!J13</f>
        <v>25416</v>
      </c>
      <c r="K14" s="7">
        <f>G14+C14+kiad3!C15+kiad3!G13+kiad3!K13</f>
        <v>27988</v>
      </c>
      <c r="L14" s="7">
        <f>H14+D14+kiad3!D13+kiad3!H13+kiad3!L13</f>
        <v>7372</v>
      </c>
      <c r="M14" s="33">
        <f t="shared" si="0"/>
        <v>26.339859939974275</v>
      </c>
    </row>
    <row r="15" spans="1:13" s="21" customFormat="1" ht="15.75">
      <c r="A15" s="38" t="s">
        <v>27</v>
      </c>
      <c r="B15" s="17"/>
      <c r="C15" s="17"/>
      <c r="D15" s="17"/>
      <c r="E15" s="8"/>
      <c r="F15" s="17"/>
      <c r="G15" s="7"/>
      <c r="H15" s="89"/>
      <c r="I15" s="8"/>
      <c r="J15" s="7">
        <f>F15+B15+kiad3!B14+kiad3!F14+kiad3!J14</f>
        <v>2844</v>
      </c>
      <c r="K15" s="7">
        <f>G15+C15+kiad3!C14+kiad3!G14+kiad3!K14</f>
        <v>2844</v>
      </c>
      <c r="L15" s="7">
        <f>H15+D15+kiad3!D14+kiad3!H14+kiad3!L14</f>
        <v>606</v>
      </c>
      <c r="M15" s="33">
        <f t="shared" si="0"/>
        <v>21.308016877637133</v>
      </c>
    </row>
    <row r="16" spans="1:13" ht="15.75">
      <c r="A16" s="38" t="s">
        <v>28</v>
      </c>
      <c r="B16" s="7"/>
      <c r="C16" s="7"/>
      <c r="D16" s="7"/>
      <c r="E16" s="8"/>
      <c r="F16" s="17"/>
      <c r="G16" s="7"/>
      <c r="H16" s="89"/>
      <c r="I16" s="8"/>
      <c r="J16" s="7">
        <f>F16+B16+kiad3!B15+kiad3!F15+kiad3!J15</f>
        <v>105</v>
      </c>
      <c r="K16" s="7">
        <f>G16+C16+kiad3!C15+kiad3!G15+kiad3!K15</f>
        <v>105</v>
      </c>
      <c r="L16" s="7">
        <f>H16+D16+kiad3!D15+kiad3!H15+kiad3!L15</f>
        <v>13</v>
      </c>
      <c r="M16" s="33">
        <f t="shared" si="0"/>
        <v>12.380952380952381</v>
      </c>
    </row>
    <row r="17" spans="1:13" ht="15.75">
      <c r="A17" s="38" t="s">
        <v>125</v>
      </c>
      <c r="B17" s="9"/>
      <c r="C17" s="9"/>
      <c r="D17" s="9"/>
      <c r="E17" s="10"/>
      <c r="F17" s="17"/>
      <c r="G17" s="7"/>
      <c r="H17" s="89"/>
      <c r="I17" s="8"/>
      <c r="J17" s="7">
        <f>F17+B17+kiad3!B16+kiad3!F16+kiad3!J16</f>
        <v>5</v>
      </c>
      <c r="K17" s="7">
        <f>G17+C17+kiad3!C16+kiad3!G16+kiad3!K16</f>
        <v>5</v>
      </c>
      <c r="L17" s="7">
        <f>H17+D17+kiad3!D16+kiad3!H16+kiad3!L16</f>
        <v>6</v>
      </c>
      <c r="M17" s="33">
        <f t="shared" si="0"/>
        <v>120</v>
      </c>
    </row>
    <row r="18" spans="1:13" ht="15.75">
      <c r="A18" s="38" t="s">
        <v>61</v>
      </c>
      <c r="B18" s="7"/>
      <c r="C18" s="7"/>
      <c r="D18" s="7"/>
      <c r="E18" s="10"/>
      <c r="F18" s="17"/>
      <c r="G18" s="7"/>
      <c r="H18" s="89"/>
      <c r="I18" s="8"/>
      <c r="J18" s="7">
        <f>F18+B18+kiad3!B17+kiad3!F17+kiad3!J17</f>
        <v>4980</v>
      </c>
      <c r="K18" s="7">
        <f>G18+C18+kiad3!C17+kiad3!G17+kiad3!K17</f>
        <v>5174</v>
      </c>
      <c r="L18" s="7">
        <f>H18+D18+kiad3!D17+kiad3!H17+kiad3!L17</f>
        <v>2708</v>
      </c>
      <c r="M18" s="33">
        <f t="shared" si="0"/>
        <v>52.338616157711634</v>
      </c>
    </row>
    <row r="19" spans="1:13" ht="15.75">
      <c r="A19" s="38" t="s">
        <v>113</v>
      </c>
      <c r="B19" s="7"/>
      <c r="C19" s="7"/>
      <c r="D19" s="7"/>
      <c r="E19" s="10"/>
      <c r="F19" s="17">
        <v>66</v>
      </c>
      <c r="G19" s="89">
        <f>+F19</f>
        <v>66</v>
      </c>
      <c r="H19" s="89">
        <v>22</v>
      </c>
      <c r="I19" s="33">
        <f>H19/G19*100</f>
        <v>33.33333333333333</v>
      </c>
      <c r="J19" s="7">
        <f>F19+B19+kiad3!B18+kiad3!F18+kiad3!J18</f>
        <v>66</v>
      </c>
      <c r="K19" s="7">
        <f>G19+C19+kiad3!C18+kiad3!G18+kiad3!K18</f>
        <v>66</v>
      </c>
      <c r="L19" s="7">
        <f>H19+D19+kiad3!D18+kiad3!H18+kiad3!L18</f>
        <v>22</v>
      </c>
      <c r="M19" s="33">
        <f t="shared" si="0"/>
        <v>33.33333333333333</v>
      </c>
    </row>
    <row r="20" spans="1:13" ht="15.75">
      <c r="A20" s="38" t="s">
        <v>126</v>
      </c>
      <c r="B20" s="7"/>
      <c r="C20" s="7"/>
      <c r="D20" s="7"/>
      <c r="E20" s="10"/>
      <c r="F20" s="17">
        <v>10000</v>
      </c>
      <c r="G20" s="89">
        <f>+F20</f>
        <v>10000</v>
      </c>
      <c r="H20" s="89">
        <v>5000</v>
      </c>
      <c r="I20" s="33">
        <f>H20/G20*100</f>
        <v>50</v>
      </c>
      <c r="J20" s="7">
        <f>F20+B20+kiad3!B19+kiad3!F19+kiad3!J19</f>
        <v>10000</v>
      </c>
      <c r="K20" s="7">
        <f>G20+C20+kiad3!C19+kiad3!G19+kiad3!K19</f>
        <v>10000</v>
      </c>
      <c r="L20" s="89">
        <f>H20+D20+kiad3!D19+kiad3!H19+kiad3!L19</f>
        <v>5000</v>
      </c>
      <c r="M20" s="33">
        <f t="shared" si="0"/>
        <v>50</v>
      </c>
    </row>
    <row r="21" spans="1:13" ht="15.75">
      <c r="A21" s="141" t="s">
        <v>127</v>
      </c>
      <c r="B21" s="7"/>
      <c r="C21" s="7"/>
      <c r="D21" s="7"/>
      <c r="E21" s="10"/>
      <c r="F21" s="17">
        <v>7220</v>
      </c>
      <c r="G21" s="89">
        <f>+F21</f>
        <v>7220</v>
      </c>
      <c r="H21" s="89">
        <v>3602</v>
      </c>
      <c r="I21" s="33">
        <f>H21/G21*100</f>
        <v>49.88919667590028</v>
      </c>
      <c r="J21" s="7">
        <f>F21+B21+kiad3!B20+kiad3!F20+kiad3!J20</f>
        <v>7220</v>
      </c>
      <c r="K21" s="7">
        <f>G21+C21+kiad3!C20+kiad3!G20+kiad3!K20</f>
        <v>7220</v>
      </c>
      <c r="L21" s="89">
        <f>H21+D21+kiad3!D20+kiad3!H20+kiad3!L20</f>
        <v>3602</v>
      </c>
      <c r="M21" s="33">
        <f t="shared" si="0"/>
        <v>49.88919667590028</v>
      </c>
    </row>
    <row r="22" spans="1:13" s="19" customFormat="1" ht="15.75">
      <c r="A22" s="39" t="s">
        <v>116</v>
      </c>
      <c r="B22" s="11">
        <f>B21+B18+B17+B16+B15+B14+B13+B12+B11+B10+kiad2!B24+kiad2!B23+kiad2!B22+kiad2!B21+kiad2!B20+kiad2!B19+kiad2!B18+kiad2!B17+kiad2!B15+kiad2!B14+kiad2!B16+B19+B20+kiad2!B25</f>
        <v>38886</v>
      </c>
      <c r="C22" s="11">
        <f>C21+C18+C17+C16+C15+C14+C13+C12+C11+C10+kiad2!C24+kiad2!C23+kiad2!C22+kiad2!C21+kiad2!C20+kiad2!C19+kiad2!C18+kiad2!C17+kiad2!C15+kiad2!C14+kiad2!C16+C19+C20+kiad2!C25</f>
        <v>41458</v>
      </c>
      <c r="D22" s="11">
        <f>D21+D18+D17+D16+D15+D14+D13+D12+D11+D10+kiad2!D24+kiad2!D23+kiad2!D22+kiad2!D21+kiad2!D20+kiad2!D19+kiad2!D18+kiad2!D17+kiad2!D15+kiad2!D14+kiad2!D16+D19+D20+kiad2!D25</f>
        <v>9214</v>
      </c>
      <c r="E22" s="12">
        <f>D22/C22*100</f>
        <v>22.22490231077235</v>
      </c>
      <c r="F22" s="11">
        <f>F21+F18+F17+F16+F15+F14+F13+F12+F11+F10+kiad2!F24+kiad2!F23+kiad2!F22+kiad2!F21+kiad2!F20+kiad2!F19+kiad2!F18+kiad2!F17+kiad2!F15+kiad2!F14+kiad2!F16+F19+F20+kiad2!F25</f>
        <v>93704</v>
      </c>
      <c r="G22" s="11">
        <f>G21+G18+G17+G16+G15+G14+G13+G12+G11+G10+kiad2!G24+kiad2!G23+kiad2!G22+kiad2!G21+kiad2!G20+kiad2!G19+kiad2!G18+kiad2!G17+kiad2!G15+kiad2!G14+kiad2!G16+G19+G20+kiad2!G25</f>
        <v>94714</v>
      </c>
      <c r="H22" s="11">
        <f>H21+H18+H17+H16+H15+H14+H13+H12+H11+H10+kiad2!H24+kiad2!H23+kiad2!H22+kiad2!H21+kiad2!H20+kiad2!H19+kiad2!H18+kiad2!H17+kiad2!H15+kiad2!H14+kiad2!H16+H19+H20+kiad2!H25</f>
        <v>50817</v>
      </c>
      <c r="I22" s="12">
        <f>H22/G22*100</f>
        <v>53.65310302595181</v>
      </c>
      <c r="J22" s="11">
        <f>J21+J18+J17+J16+J15+J14+J13+J12+J11+J10+kiad2!J24+kiad2!J23+kiad2!J22+kiad2!J21+kiad2!J20+kiad2!J19+kiad2!J18+kiad2!J17+kiad2!J15+kiad2!J14+kiad2!J16+J19+J20+kiad2!J25</f>
        <v>181352</v>
      </c>
      <c r="K22" s="11">
        <f>K21+K18+K17+K16+K15+K14+K13+K12+K11+K10+kiad2!K24+kiad2!K23+kiad2!K22+kiad2!K21+kiad2!K20+kiad2!K19+kiad2!K18+kiad2!K17+kiad2!K15+kiad2!K14+kiad2!K16+K19+K20+kiad2!K25</f>
        <v>185128</v>
      </c>
      <c r="L22" s="11">
        <f>L21+L18+L17+L16+L15+L14+L13+L12+L11+L10+kiad2!L24+kiad2!L23+kiad2!L22+kiad2!L21+kiad2!L20+kiad2!L19+kiad2!L18+kiad2!L17+kiad2!L15+kiad2!L14+kiad2!L16+L19+L20+kiad2!L25</f>
        <v>83595</v>
      </c>
      <c r="M22" s="34">
        <f t="shared" si="0"/>
        <v>45.155243939328464</v>
      </c>
    </row>
    <row r="23" spans="1:13" ht="15.75">
      <c r="A23" s="39" t="s">
        <v>29</v>
      </c>
      <c r="B23" s="7"/>
      <c r="C23" s="7"/>
      <c r="D23" s="7"/>
      <c r="E23" s="8"/>
      <c r="F23" s="9"/>
      <c r="G23" s="9"/>
      <c r="H23" s="148"/>
      <c r="I23" s="8"/>
      <c r="J23" s="7"/>
      <c r="K23" s="7"/>
      <c r="L23" s="7"/>
      <c r="M23" s="33"/>
    </row>
    <row r="24" spans="1:13" ht="15.75">
      <c r="A24" s="38" t="s">
        <v>30</v>
      </c>
      <c r="B24" s="7"/>
      <c r="C24" s="7"/>
      <c r="D24" s="7"/>
      <c r="E24" s="8"/>
      <c r="F24" s="7">
        <v>60</v>
      </c>
      <c r="G24" s="7">
        <f>+F24</f>
        <v>60</v>
      </c>
      <c r="H24" s="89">
        <v>5</v>
      </c>
      <c r="I24" s="8">
        <f>H24/G24*100</f>
        <v>8.333333333333332</v>
      </c>
      <c r="J24" s="7">
        <f>F24+B24+kiad3!B23+kiad3!F23+kiad3!J23</f>
        <v>1414</v>
      </c>
      <c r="K24" s="7">
        <f>G24+C24+kiad3!C23+kiad3!G23+kiad3!K23</f>
        <v>1553</v>
      </c>
      <c r="L24" s="7">
        <f>H24+D24+kiad3!D23+kiad3!H23+kiad3!L23</f>
        <v>900</v>
      </c>
      <c r="M24" s="33">
        <f t="shared" si="0"/>
        <v>57.95235028976175</v>
      </c>
    </row>
    <row r="25" spans="1:13" ht="15.75">
      <c r="A25" s="38" t="s">
        <v>31</v>
      </c>
      <c r="B25" s="7"/>
      <c r="C25" s="7"/>
      <c r="D25" s="7"/>
      <c r="E25" s="8"/>
      <c r="F25" s="9"/>
      <c r="G25" s="9"/>
      <c r="H25" s="148"/>
      <c r="I25" s="8"/>
      <c r="J25" s="7">
        <f>F25+B25+kiad3!B24+kiad3!F24+kiad3!J24</f>
        <v>1946</v>
      </c>
      <c r="K25" s="7">
        <f>G25+C25+kiad3!C24+kiad3!G24+kiad3!K24</f>
        <v>1946</v>
      </c>
      <c r="L25" s="7">
        <f>H25+D25+kiad3!D24+kiad3!H24+kiad3!L24</f>
        <v>244</v>
      </c>
      <c r="M25" s="33">
        <f t="shared" si="0"/>
        <v>12.538540596094553</v>
      </c>
    </row>
    <row r="26" spans="1:13" s="19" customFormat="1" ht="15.75">
      <c r="A26" s="39" t="s">
        <v>32</v>
      </c>
      <c r="B26" s="11"/>
      <c r="C26" s="11"/>
      <c r="D26" s="11"/>
      <c r="E26" s="12"/>
      <c r="F26" s="11">
        <f>+F24+F25</f>
        <v>60</v>
      </c>
      <c r="G26" s="11">
        <f>+G24+G25</f>
        <v>60</v>
      </c>
      <c r="H26" s="147">
        <f>+H24+H25</f>
        <v>5</v>
      </c>
      <c r="I26" s="12">
        <f>H26/G26*100</f>
        <v>8.333333333333332</v>
      </c>
      <c r="J26" s="11">
        <f>kiad3!B25+kiad3!F25+kiad3!J25+F26</f>
        <v>3360</v>
      </c>
      <c r="K26" s="11">
        <f>kiad3!C25+kiad3!G25+kiad3!K25+G26</f>
        <v>3499</v>
      </c>
      <c r="L26" s="11">
        <f>kiad3!D25+kiad3!H25+kiad3!L25+H26</f>
        <v>1144</v>
      </c>
      <c r="M26" s="34">
        <f t="shared" si="0"/>
        <v>32.69505573020864</v>
      </c>
    </row>
    <row r="27" spans="1:13" ht="15.75">
      <c r="A27" s="39" t="s">
        <v>96</v>
      </c>
      <c r="B27" s="7"/>
      <c r="C27" s="7"/>
      <c r="D27" s="7"/>
      <c r="E27" s="8"/>
      <c r="F27" s="9"/>
      <c r="G27" s="9"/>
      <c r="H27" s="148"/>
      <c r="I27" s="31"/>
      <c r="J27" s="7"/>
      <c r="K27" s="7"/>
      <c r="L27" s="7"/>
      <c r="M27" s="33"/>
    </row>
    <row r="28" spans="1:13" ht="15.75">
      <c r="A28" s="38" t="s">
        <v>30</v>
      </c>
      <c r="B28" s="7"/>
      <c r="C28" s="7"/>
      <c r="D28" s="7"/>
      <c r="E28" s="8"/>
      <c r="F28" s="7"/>
      <c r="G28" s="7"/>
      <c r="H28" s="89">
        <v>86</v>
      </c>
      <c r="I28" s="33"/>
      <c r="J28" s="7">
        <f>F28+B28+kiad3!B27+kiad3!F27+kiad3!J27</f>
        <v>2148</v>
      </c>
      <c r="K28" s="7">
        <f>G28+C28+kiad3!C27+kiad3!G27+kiad3!K27</f>
        <v>2217</v>
      </c>
      <c r="L28" s="7">
        <f>H28+D28+kiad3!D27+kiad3!H27+kiad3!L27</f>
        <v>386</v>
      </c>
      <c r="M28" s="33">
        <f t="shared" si="0"/>
        <v>17.410915651781686</v>
      </c>
    </row>
    <row r="29" spans="1:13" ht="15.75">
      <c r="A29" s="39" t="s">
        <v>97</v>
      </c>
      <c r="B29" s="11">
        <f>+B28</f>
        <v>0</v>
      </c>
      <c r="C29" s="11">
        <f>+C28</f>
        <v>0</v>
      </c>
      <c r="D29" s="11">
        <f>+D28</f>
        <v>0</v>
      </c>
      <c r="E29" s="12"/>
      <c r="F29" s="11">
        <f>+F28</f>
        <v>0</v>
      </c>
      <c r="G29" s="11">
        <f>+G28</f>
        <v>0</v>
      </c>
      <c r="H29" s="11">
        <f>+H28</f>
        <v>86</v>
      </c>
      <c r="I29" s="34"/>
      <c r="J29" s="11">
        <f>kiad3!B28+kiad3!F28+kiad3!J28+F29</f>
        <v>2148</v>
      </c>
      <c r="K29" s="11">
        <f>kiad3!C28+kiad3!G28+kiad3!K28+G29</f>
        <v>2217</v>
      </c>
      <c r="L29" s="11">
        <f>kiad3!D28+kiad3!H28+kiad3!L28+H29</f>
        <v>386</v>
      </c>
      <c r="M29" s="34">
        <f t="shared" si="0"/>
        <v>17.410915651781686</v>
      </c>
    </row>
    <row r="30" spans="1:13" ht="15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1:13" ht="15.75">
      <c r="A31" s="6"/>
      <c r="B31" s="6"/>
      <c r="C31" s="6"/>
      <c r="D31" s="6"/>
      <c r="E31" s="6"/>
      <c r="F31" s="6"/>
      <c r="G31" s="6"/>
      <c r="H31" s="6"/>
      <c r="I31" s="6"/>
      <c r="J31" s="149"/>
      <c r="K31" s="149"/>
      <c r="L31" s="149"/>
      <c r="M31" s="6"/>
    </row>
    <row r="32" spans="1:13" ht="15.75">
      <c r="A32" s="174">
        <v>4</v>
      </c>
      <c r="B32" s="174"/>
      <c r="C32" s="174"/>
      <c r="D32" s="174"/>
      <c r="E32" s="174"/>
      <c r="F32" s="174"/>
      <c r="G32" s="174"/>
      <c r="H32" s="174"/>
      <c r="I32" s="174"/>
      <c r="J32" s="174"/>
      <c r="K32" s="174"/>
      <c r="L32" s="174"/>
      <c r="M32" s="174"/>
    </row>
    <row r="33" spans="1:13" ht="15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</row>
  </sheetData>
  <mergeCells count="17">
    <mergeCell ref="G8:G9"/>
    <mergeCell ref="A2:M2"/>
    <mergeCell ref="A3:M3"/>
    <mergeCell ref="B7:E7"/>
    <mergeCell ref="F7:I7"/>
    <mergeCell ref="J7:M7"/>
    <mergeCell ref="L6:M6"/>
    <mergeCell ref="A32:M32"/>
    <mergeCell ref="L8:L9"/>
    <mergeCell ref="M8:M9"/>
    <mergeCell ref="H8:H9"/>
    <mergeCell ref="I8:I9"/>
    <mergeCell ref="J8:J9"/>
    <mergeCell ref="K8:K9"/>
    <mergeCell ref="A8:A9"/>
    <mergeCell ref="D8:D9"/>
    <mergeCell ref="E8:E9"/>
  </mergeCells>
  <printOptions horizontalCentered="1" vertic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zoomScale="90" zoomScaleNormal="90" workbookViewId="0" topLeftCell="A1">
      <selection activeCell="E35" sqref="E35"/>
    </sheetView>
  </sheetViews>
  <sheetFormatPr defaultColWidth="9.140625" defaultRowHeight="12.75"/>
  <cols>
    <col min="1" max="1" width="47.140625" style="0" customWidth="1"/>
    <col min="2" max="2" width="11.421875" style="0" customWidth="1"/>
    <col min="3" max="3" width="12.28125" style="0" customWidth="1"/>
    <col min="4" max="4" width="10.421875" style="0" bestFit="1" customWidth="1"/>
    <col min="5" max="5" width="9.421875" style="0" customWidth="1"/>
    <col min="6" max="6" width="11.57421875" style="0" customWidth="1"/>
    <col min="7" max="7" width="12.00390625" style="0" customWidth="1"/>
    <col min="8" max="8" width="10.140625" style="0" customWidth="1"/>
    <col min="9" max="9" width="9.8515625" style="0" customWidth="1"/>
    <col min="10" max="10" width="11.140625" style="0" customWidth="1"/>
    <col min="11" max="11" width="11.421875" style="0" customWidth="1"/>
    <col min="12" max="12" width="10.00390625" style="0" customWidth="1"/>
    <col min="13" max="13" width="10.28125" style="0" customWidth="1"/>
  </cols>
  <sheetData>
    <row r="1" ht="15.75">
      <c r="M1" s="52" t="s">
        <v>109</v>
      </c>
    </row>
    <row r="2" spans="1:13" ht="18.75">
      <c r="A2" s="177" t="s">
        <v>1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</row>
    <row r="3" spans="1:13" s="3" customFormat="1" ht="18.75">
      <c r="A3" s="177" t="s">
        <v>122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</row>
    <row r="4" spans="1:12" s="3" customFormat="1" ht="15.75">
      <c r="A4" s="88"/>
      <c r="B4" s="88"/>
      <c r="C4" s="88"/>
      <c r="D4" s="88"/>
      <c r="E4" s="88"/>
      <c r="F4" s="88"/>
      <c r="G4" s="88"/>
      <c r="H4" s="88"/>
      <c r="I4" s="88"/>
      <c r="J4" s="91"/>
      <c r="L4" s="91"/>
    </row>
    <row r="5" spans="1:13" s="3" customFormat="1" ht="15.75">
      <c r="A5" s="88"/>
      <c r="B5" s="88"/>
      <c r="C5" s="88"/>
      <c r="D5" s="88"/>
      <c r="E5" s="88"/>
      <c r="F5" s="88"/>
      <c r="G5" s="88"/>
      <c r="H5" s="88"/>
      <c r="I5" s="88"/>
      <c r="J5" s="91"/>
      <c r="L5" s="91"/>
      <c r="M5" s="91"/>
    </row>
    <row r="6" spans="1:13" ht="15.75">
      <c r="A6" s="52"/>
      <c r="B6" s="60"/>
      <c r="C6" s="60"/>
      <c r="D6" s="60"/>
      <c r="E6" s="60"/>
      <c r="F6" s="60"/>
      <c r="G6" s="60"/>
      <c r="H6" s="60"/>
      <c r="I6" s="6"/>
      <c r="J6" s="60"/>
      <c r="K6" s="60"/>
      <c r="L6" s="60"/>
      <c r="M6" s="52" t="s">
        <v>2</v>
      </c>
    </row>
    <row r="7" spans="1:13" ht="15.75">
      <c r="A7" s="49"/>
      <c r="B7" s="165" t="s">
        <v>3</v>
      </c>
      <c r="C7" s="165"/>
      <c r="D7" s="166"/>
      <c r="E7" s="165"/>
      <c r="F7" s="165" t="s">
        <v>4</v>
      </c>
      <c r="G7" s="165"/>
      <c r="H7" s="166"/>
      <c r="I7" s="165"/>
      <c r="J7" s="165" t="s">
        <v>68</v>
      </c>
      <c r="K7" s="165"/>
      <c r="L7" s="166"/>
      <c r="M7" s="165"/>
    </row>
    <row r="8" spans="1:13" ht="15.75" customHeight="1">
      <c r="A8" s="168" t="s">
        <v>5</v>
      </c>
      <c r="B8" s="113" t="s">
        <v>6</v>
      </c>
      <c r="C8" s="113" t="s">
        <v>11</v>
      </c>
      <c r="D8" s="170" t="s">
        <v>9</v>
      </c>
      <c r="E8" s="118" t="s">
        <v>9</v>
      </c>
      <c r="F8" s="118" t="s">
        <v>6</v>
      </c>
      <c r="G8" s="113" t="s">
        <v>11</v>
      </c>
      <c r="H8" s="170" t="s">
        <v>9</v>
      </c>
      <c r="I8" s="118" t="s">
        <v>9</v>
      </c>
      <c r="J8" s="118" t="s">
        <v>6</v>
      </c>
      <c r="K8" s="113" t="s">
        <v>11</v>
      </c>
      <c r="L8" s="170" t="s">
        <v>9</v>
      </c>
      <c r="M8" s="113" t="s">
        <v>9</v>
      </c>
    </row>
    <row r="9" spans="1:13" ht="15.75">
      <c r="A9" s="168"/>
      <c r="B9" s="117" t="s">
        <v>7</v>
      </c>
      <c r="C9" s="117" t="s">
        <v>7</v>
      </c>
      <c r="D9" s="170"/>
      <c r="E9" s="119" t="s">
        <v>10</v>
      </c>
      <c r="F9" s="119" t="s">
        <v>7</v>
      </c>
      <c r="G9" s="117" t="s">
        <v>7</v>
      </c>
      <c r="H9" s="170"/>
      <c r="I9" s="119" t="s">
        <v>12</v>
      </c>
      <c r="J9" s="119" t="s">
        <v>7</v>
      </c>
      <c r="K9" s="117" t="s">
        <v>7</v>
      </c>
      <c r="L9" s="170"/>
      <c r="M9" s="117" t="s">
        <v>12</v>
      </c>
    </row>
    <row r="10" spans="1:13" ht="15.75">
      <c r="A10" s="39" t="s">
        <v>98</v>
      </c>
      <c r="B10" s="58"/>
      <c r="C10" s="58"/>
      <c r="D10" s="39"/>
      <c r="E10" s="58"/>
      <c r="F10" s="58"/>
      <c r="G10" s="58"/>
      <c r="H10" s="39"/>
      <c r="I10" s="58"/>
      <c r="J10" s="58"/>
      <c r="K10" s="58"/>
      <c r="L10" s="39"/>
      <c r="M10" s="58"/>
    </row>
    <row r="11" spans="1:13" ht="15.75">
      <c r="A11" s="38" t="s">
        <v>33</v>
      </c>
      <c r="B11" s="17">
        <v>13674</v>
      </c>
      <c r="C11" s="17">
        <f>+B11+441+373</f>
        <v>14488</v>
      </c>
      <c r="D11" s="17">
        <v>7078</v>
      </c>
      <c r="E11" s="30">
        <f>D11/C11*100</f>
        <v>48.85422418553286</v>
      </c>
      <c r="F11" s="17">
        <v>4566</v>
      </c>
      <c r="G11" s="17">
        <f>+F11+141+119</f>
        <v>4826</v>
      </c>
      <c r="H11" s="7">
        <v>2457</v>
      </c>
      <c r="I11" s="30">
        <f>H11/G11*100</f>
        <v>50.911728139245746</v>
      </c>
      <c r="J11" s="17">
        <v>13616</v>
      </c>
      <c r="K11" s="17">
        <f>+J11</f>
        <v>13616</v>
      </c>
      <c r="L11" s="7">
        <v>5911</v>
      </c>
      <c r="M11" s="30">
        <f>L11/K11*100</f>
        <v>43.41216216216216</v>
      </c>
    </row>
    <row r="12" spans="1:13" ht="15.75">
      <c r="A12" s="38" t="s">
        <v>34</v>
      </c>
      <c r="B12" s="17">
        <v>4870</v>
      </c>
      <c r="C12" s="17">
        <f>+B12+284+129</f>
        <v>5283</v>
      </c>
      <c r="D12" s="17">
        <v>2182</v>
      </c>
      <c r="E12" s="30">
        <f aca="true" t="shared" si="0" ref="E12:E21">D12/C12*100</f>
        <v>41.30229036532273</v>
      </c>
      <c r="F12" s="17">
        <v>1656</v>
      </c>
      <c r="G12" s="17">
        <f>+F12+91+41</f>
        <v>1788</v>
      </c>
      <c r="H12" s="7">
        <v>679</v>
      </c>
      <c r="I12" s="30">
        <f aca="true" t="shared" si="1" ref="I12:I21">H12/G12*100</f>
        <v>37.975391498881436</v>
      </c>
      <c r="J12" s="17">
        <v>314</v>
      </c>
      <c r="K12" s="17">
        <f aca="true" t="shared" si="2" ref="K12:K20">+J12</f>
        <v>314</v>
      </c>
      <c r="L12" s="7">
        <v>20</v>
      </c>
      <c r="M12" s="30">
        <f aca="true" t="shared" si="3" ref="M12:M21">L12/K12*100</f>
        <v>6.369426751592357</v>
      </c>
    </row>
    <row r="13" spans="1:13" ht="15.75">
      <c r="A13" s="38" t="s">
        <v>35</v>
      </c>
      <c r="B13" s="17">
        <v>4416</v>
      </c>
      <c r="C13" s="17">
        <f>+B13+144+327</f>
        <v>4887</v>
      </c>
      <c r="D13" s="17">
        <v>2462</v>
      </c>
      <c r="E13" s="30">
        <f t="shared" si="0"/>
        <v>50.378555350931045</v>
      </c>
      <c r="F13" s="17">
        <v>1446</v>
      </c>
      <c r="G13" s="17">
        <f>+F13+46+105</f>
        <v>1597</v>
      </c>
      <c r="H13" s="7">
        <v>1156</v>
      </c>
      <c r="I13" s="30">
        <f t="shared" si="1"/>
        <v>72.38572323105824</v>
      </c>
      <c r="J13" s="17">
        <v>1678</v>
      </c>
      <c r="K13" s="17">
        <f t="shared" si="2"/>
        <v>1678</v>
      </c>
      <c r="L13" s="7">
        <v>926</v>
      </c>
      <c r="M13" s="30">
        <f t="shared" si="3"/>
        <v>55.18474374255066</v>
      </c>
    </row>
    <row r="14" spans="1:13" ht="15.75">
      <c r="A14" s="38" t="s">
        <v>36</v>
      </c>
      <c r="B14" s="17">
        <v>4061</v>
      </c>
      <c r="C14" s="17">
        <f>+B14+196+86</f>
        <v>4343</v>
      </c>
      <c r="D14" s="17">
        <v>1899</v>
      </c>
      <c r="E14" s="30">
        <f t="shared" si="0"/>
        <v>43.7255353442321</v>
      </c>
      <c r="F14" s="17">
        <v>1359</v>
      </c>
      <c r="G14" s="17">
        <f>+F14+63+28</f>
        <v>1450</v>
      </c>
      <c r="H14" s="7">
        <v>584</v>
      </c>
      <c r="I14" s="30">
        <f t="shared" si="1"/>
        <v>40.275862068965516</v>
      </c>
      <c r="J14" s="17">
        <v>90</v>
      </c>
      <c r="K14" s="17">
        <f t="shared" si="2"/>
        <v>90</v>
      </c>
      <c r="L14" s="7">
        <v>115</v>
      </c>
      <c r="M14" s="30">
        <f t="shared" si="3"/>
        <v>127.77777777777777</v>
      </c>
    </row>
    <row r="15" spans="1:13" ht="15.75">
      <c r="A15" s="38" t="s">
        <v>37</v>
      </c>
      <c r="B15" s="7">
        <v>1548</v>
      </c>
      <c r="C15" s="7">
        <f>+B15+63+46</f>
        <v>1657</v>
      </c>
      <c r="D15" s="7">
        <v>763</v>
      </c>
      <c r="E15" s="30">
        <f t="shared" si="0"/>
        <v>46.04707302353651</v>
      </c>
      <c r="F15" s="7">
        <v>523</v>
      </c>
      <c r="G15" s="17">
        <f>+F15+20+15</f>
        <v>558</v>
      </c>
      <c r="H15" s="7">
        <v>216</v>
      </c>
      <c r="I15" s="30">
        <f t="shared" si="1"/>
        <v>38.70967741935484</v>
      </c>
      <c r="J15" s="7">
        <v>20615</v>
      </c>
      <c r="K15" s="17">
        <f t="shared" si="2"/>
        <v>20615</v>
      </c>
      <c r="L15" s="7">
        <v>7658</v>
      </c>
      <c r="M15" s="30">
        <f t="shared" si="3"/>
        <v>37.14770797962649</v>
      </c>
    </row>
    <row r="16" spans="1:13" ht="15.75">
      <c r="A16" s="38" t="s">
        <v>100</v>
      </c>
      <c r="B16" s="17">
        <v>1505</v>
      </c>
      <c r="C16" s="17">
        <f>+B16+68+43</f>
        <v>1616</v>
      </c>
      <c r="D16" s="17">
        <v>818</v>
      </c>
      <c r="E16" s="30">
        <f t="shared" si="0"/>
        <v>50.61881188118812</v>
      </c>
      <c r="F16" s="17">
        <v>509</v>
      </c>
      <c r="G16" s="17">
        <f>+F16+22+14</f>
        <v>545</v>
      </c>
      <c r="H16" s="7">
        <v>217</v>
      </c>
      <c r="I16" s="30">
        <f t="shared" si="1"/>
        <v>39.816513761467895</v>
      </c>
      <c r="J16" s="17">
        <v>777</v>
      </c>
      <c r="K16" s="17">
        <f t="shared" si="2"/>
        <v>777</v>
      </c>
      <c r="L16" s="7">
        <v>482</v>
      </c>
      <c r="M16" s="30">
        <f t="shared" si="3"/>
        <v>62.03346203346203</v>
      </c>
    </row>
    <row r="17" spans="1:13" ht="15.75">
      <c r="A17" s="38" t="s">
        <v>54</v>
      </c>
      <c r="B17" s="17">
        <v>5911</v>
      </c>
      <c r="C17" s="17">
        <f>+B17+156+213</f>
        <v>6280</v>
      </c>
      <c r="D17" s="17">
        <v>3297</v>
      </c>
      <c r="E17" s="30">
        <f t="shared" si="0"/>
        <v>52.5</v>
      </c>
      <c r="F17" s="17">
        <v>1961</v>
      </c>
      <c r="G17" s="17">
        <f>+F17+50+68</f>
        <v>2079</v>
      </c>
      <c r="H17" s="7">
        <v>1088</v>
      </c>
      <c r="I17" s="30">
        <f t="shared" si="1"/>
        <v>52.33285233285233</v>
      </c>
      <c r="J17" s="17">
        <v>1601</v>
      </c>
      <c r="K17" s="17">
        <f>+J17+257</f>
        <v>1858</v>
      </c>
      <c r="L17" s="7">
        <v>505</v>
      </c>
      <c r="M17" s="30">
        <f t="shared" si="3"/>
        <v>27.179763186221745</v>
      </c>
    </row>
    <row r="18" spans="1:13" s="22" customFormat="1" ht="15.75">
      <c r="A18" s="38" t="s">
        <v>55</v>
      </c>
      <c r="B18" s="17"/>
      <c r="C18" s="17"/>
      <c r="D18" s="17">
        <v>26</v>
      </c>
      <c r="E18" s="30"/>
      <c r="F18" s="17"/>
      <c r="G18" s="17"/>
      <c r="H18" s="7"/>
      <c r="I18" s="30"/>
      <c r="J18" s="17">
        <v>440</v>
      </c>
      <c r="K18" s="17">
        <f t="shared" si="2"/>
        <v>440</v>
      </c>
      <c r="L18" s="7">
        <v>142</v>
      </c>
      <c r="M18" s="30">
        <f t="shared" si="3"/>
        <v>32.27272727272727</v>
      </c>
    </row>
    <row r="19" spans="1:13" s="22" customFormat="1" ht="15.75">
      <c r="A19" s="38" t="s">
        <v>101</v>
      </c>
      <c r="B19" s="17">
        <v>11419</v>
      </c>
      <c r="C19" s="17">
        <f>+B19+743+416</f>
        <v>12578</v>
      </c>
      <c r="D19" s="17">
        <v>6214</v>
      </c>
      <c r="E19" s="30">
        <f t="shared" si="0"/>
        <v>49.40372078231833</v>
      </c>
      <c r="F19" s="17">
        <v>3857</v>
      </c>
      <c r="G19" s="17">
        <f>+F19+238+133</f>
        <v>4228</v>
      </c>
      <c r="H19" s="7">
        <v>2091</v>
      </c>
      <c r="I19" s="30">
        <f t="shared" si="1"/>
        <v>49.45600756859035</v>
      </c>
      <c r="J19" s="17">
        <v>4252</v>
      </c>
      <c r="K19" s="17">
        <f t="shared" si="2"/>
        <v>4252</v>
      </c>
      <c r="L19" s="7">
        <v>1827</v>
      </c>
      <c r="M19" s="30">
        <f t="shared" si="3"/>
        <v>42.96801505174035</v>
      </c>
    </row>
    <row r="20" spans="1:13" s="22" customFormat="1" ht="15.75">
      <c r="A20" s="142" t="s">
        <v>128</v>
      </c>
      <c r="B20" s="17">
        <v>47610</v>
      </c>
      <c r="C20" s="17">
        <f>+B20</f>
        <v>47610</v>
      </c>
      <c r="D20" s="17">
        <v>19452</v>
      </c>
      <c r="E20" s="30">
        <f t="shared" si="0"/>
        <v>40.85696282293636</v>
      </c>
      <c r="F20" s="17">
        <v>16569</v>
      </c>
      <c r="G20" s="17">
        <f>+F20</f>
        <v>16569</v>
      </c>
      <c r="H20" s="7">
        <v>6778</v>
      </c>
      <c r="I20" s="30">
        <f t="shared" si="1"/>
        <v>40.90771923471544</v>
      </c>
      <c r="J20" s="17">
        <v>20875</v>
      </c>
      <c r="K20" s="17">
        <f t="shared" si="2"/>
        <v>20875</v>
      </c>
      <c r="L20" s="7">
        <v>7379</v>
      </c>
      <c r="M20" s="30">
        <f t="shared" si="3"/>
        <v>35.34850299401198</v>
      </c>
    </row>
    <row r="21" spans="1:13" ht="15.75">
      <c r="A21" s="39" t="s">
        <v>38</v>
      </c>
      <c r="B21" s="54">
        <f>SUM(B11:B20)</f>
        <v>95014</v>
      </c>
      <c r="C21" s="54">
        <f>SUM(C11:C20)</f>
        <v>98742</v>
      </c>
      <c r="D21" s="54">
        <f>SUM(D11:D20)</f>
        <v>44191</v>
      </c>
      <c r="E21" s="55">
        <f t="shared" si="0"/>
        <v>44.75400538777825</v>
      </c>
      <c r="F21" s="54">
        <f>SUM(F11:F20)</f>
        <v>32446</v>
      </c>
      <c r="G21" s="11">
        <f>SUM(G11:G20)</f>
        <v>33640</v>
      </c>
      <c r="H21" s="11">
        <f>SUM(H11:H20)</f>
        <v>15266</v>
      </c>
      <c r="I21" s="55">
        <f t="shared" si="1"/>
        <v>45.38049940546968</v>
      </c>
      <c r="J21" s="54">
        <f>SUM(J11:J20)</f>
        <v>64258</v>
      </c>
      <c r="K21" s="54">
        <f>SUM(K11:K20)</f>
        <v>64515</v>
      </c>
      <c r="L21" s="54">
        <f>SUM(L11:L20)</f>
        <v>24965</v>
      </c>
      <c r="M21" s="55">
        <f t="shared" si="3"/>
        <v>38.69642718747578</v>
      </c>
    </row>
    <row r="22" spans="1:13" ht="15.75" customHeight="1">
      <c r="A22" s="180" t="s">
        <v>103</v>
      </c>
      <c r="B22" s="182"/>
      <c r="C22" s="182"/>
      <c r="D22" s="182"/>
      <c r="E22" s="184"/>
      <c r="F22" s="182"/>
      <c r="G22" s="182"/>
      <c r="H22" s="182"/>
      <c r="I22" s="184"/>
      <c r="J22" s="182"/>
      <c r="K22" s="182"/>
      <c r="L22" s="182"/>
      <c r="M22" s="184"/>
    </row>
    <row r="23" spans="1:13" ht="15.75" customHeight="1">
      <c r="A23" s="181"/>
      <c r="B23" s="183"/>
      <c r="C23" s="183"/>
      <c r="D23" s="183"/>
      <c r="E23" s="185"/>
      <c r="F23" s="183"/>
      <c r="G23" s="183"/>
      <c r="H23" s="183"/>
      <c r="I23" s="185"/>
      <c r="J23" s="183"/>
      <c r="K23" s="183"/>
      <c r="L23" s="183"/>
      <c r="M23" s="185"/>
    </row>
    <row r="24" spans="1:13" ht="15.75">
      <c r="A24" s="38" t="s">
        <v>41</v>
      </c>
      <c r="B24" s="7">
        <v>36477</v>
      </c>
      <c r="C24" s="7">
        <f>+B24+1195+1356</f>
        <v>39028</v>
      </c>
      <c r="D24" s="7">
        <v>18759</v>
      </c>
      <c r="E24" s="30">
        <f>D24/C24*100</f>
        <v>48.06549144204161</v>
      </c>
      <c r="F24" s="7">
        <v>11916</v>
      </c>
      <c r="G24" s="7">
        <f>+F24+382+433</f>
        <v>12731</v>
      </c>
      <c r="H24" s="7">
        <v>6034</v>
      </c>
      <c r="I24" s="30">
        <f>H24/G24*100</f>
        <v>47.39611970779986</v>
      </c>
      <c r="J24" s="7">
        <v>7324</v>
      </c>
      <c r="K24" s="7">
        <f>+J24</f>
        <v>7324</v>
      </c>
      <c r="L24" s="7">
        <v>4366</v>
      </c>
      <c r="M24" s="30">
        <f>L24/K24*100</f>
        <v>59.61223375204806</v>
      </c>
    </row>
    <row r="25" spans="1:13" ht="15.75">
      <c r="A25" s="38" t="s">
        <v>42</v>
      </c>
      <c r="B25" s="7">
        <v>3652</v>
      </c>
      <c r="C25" s="7">
        <f>+B25+142+137</f>
        <v>3931</v>
      </c>
      <c r="D25" s="7">
        <v>2167</v>
      </c>
      <c r="E25" s="30">
        <f aca="true" t="shared" si="4" ref="E25:E36">D25/C25*100</f>
        <v>55.1259221572119</v>
      </c>
      <c r="F25" s="7">
        <v>1184</v>
      </c>
      <c r="G25" s="7">
        <f>+F25+46+44</f>
        <v>1274</v>
      </c>
      <c r="H25" s="7">
        <v>708</v>
      </c>
      <c r="I25" s="30">
        <f aca="true" t="shared" si="5" ref="I25:I36">H25/G25*100</f>
        <v>55.57299843014128</v>
      </c>
      <c r="J25" s="7">
        <v>17</v>
      </c>
      <c r="K25" s="7">
        <f>+J25</f>
        <v>17</v>
      </c>
      <c r="L25" s="7">
        <v>9</v>
      </c>
      <c r="M25" s="30">
        <f aca="true" t="shared" si="6" ref="M25:M36">L25/K25*100</f>
        <v>52.94117647058824</v>
      </c>
    </row>
    <row r="26" spans="1:13" s="22" customFormat="1" ht="15.75">
      <c r="A26" s="38" t="s">
        <v>115</v>
      </c>
      <c r="B26" s="7">
        <v>4780</v>
      </c>
      <c r="C26" s="7">
        <f>+B26+163</f>
        <v>4943</v>
      </c>
      <c r="D26" s="7">
        <v>2315</v>
      </c>
      <c r="E26" s="30">
        <f t="shared" si="4"/>
        <v>46.833906534493224</v>
      </c>
      <c r="F26" s="7">
        <v>1565</v>
      </c>
      <c r="G26" s="7">
        <f>+F26+52</f>
        <v>1617</v>
      </c>
      <c r="H26" s="7">
        <v>766</v>
      </c>
      <c r="I26" s="30">
        <f t="shared" si="5"/>
        <v>47.37167594310451</v>
      </c>
      <c r="J26" s="7">
        <v>1851</v>
      </c>
      <c r="K26" s="7">
        <f>+J26</f>
        <v>1851</v>
      </c>
      <c r="L26" s="7">
        <v>957</v>
      </c>
      <c r="M26" s="30">
        <f t="shared" si="6"/>
        <v>51.70178282009724</v>
      </c>
    </row>
    <row r="27" spans="1:13" ht="15.75">
      <c r="A27" s="38" t="s">
        <v>25</v>
      </c>
      <c r="B27" s="7">
        <v>188</v>
      </c>
      <c r="C27" s="7">
        <f>+B27</f>
        <v>188</v>
      </c>
      <c r="D27" s="7">
        <v>149</v>
      </c>
      <c r="E27" s="30">
        <f t="shared" si="4"/>
        <v>79.25531914893617</v>
      </c>
      <c r="F27" s="7">
        <v>63</v>
      </c>
      <c r="G27" s="7">
        <f>+F27</f>
        <v>63</v>
      </c>
      <c r="H27" s="9"/>
      <c r="I27" s="30"/>
      <c r="J27" s="7">
        <v>13461</v>
      </c>
      <c r="K27" s="7">
        <f>+J27</f>
        <v>13461</v>
      </c>
      <c r="L27" s="7">
        <v>7237</v>
      </c>
      <c r="M27" s="30">
        <f t="shared" si="6"/>
        <v>53.76272193744893</v>
      </c>
    </row>
    <row r="28" spans="1:13" ht="15.75">
      <c r="A28" s="38" t="s">
        <v>102</v>
      </c>
      <c r="B28" s="7">
        <v>3699</v>
      </c>
      <c r="C28" s="7">
        <f>+B28</f>
        <v>3699</v>
      </c>
      <c r="D28" s="7">
        <v>3515</v>
      </c>
      <c r="E28" s="30">
        <f t="shared" si="4"/>
        <v>95.02568261692349</v>
      </c>
      <c r="F28" s="7">
        <v>669</v>
      </c>
      <c r="G28" s="7">
        <f>+F28</f>
        <v>669</v>
      </c>
      <c r="H28" s="7">
        <v>545</v>
      </c>
      <c r="I28" s="30">
        <f t="shared" si="5"/>
        <v>81.46487294469357</v>
      </c>
      <c r="J28" s="7">
        <v>2762</v>
      </c>
      <c r="K28" s="7">
        <f>+J28</f>
        <v>2762</v>
      </c>
      <c r="L28" s="7">
        <v>3064</v>
      </c>
      <c r="M28" s="30">
        <f t="shared" si="6"/>
        <v>110.9341057204924</v>
      </c>
    </row>
    <row r="29" spans="1:13" ht="15.75">
      <c r="A29" s="56" t="s">
        <v>43</v>
      </c>
      <c r="B29" s="57">
        <f>SUM(B24:B28)</f>
        <v>48796</v>
      </c>
      <c r="C29" s="57">
        <f>SUM(C24:C28)</f>
        <v>51789</v>
      </c>
      <c r="D29" s="57">
        <f>SUM(D24:D28)</f>
        <v>26905</v>
      </c>
      <c r="E29" s="55">
        <f t="shared" si="4"/>
        <v>51.95118654540539</v>
      </c>
      <c r="F29" s="57">
        <f>SUM(F24:F28)</f>
        <v>15397</v>
      </c>
      <c r="G29" s="57">
        <f>SUM(G24:G28)</f>
        <v>16354</v>
      </c>
      <c r="H29" s="57">
        <f>SUM(H24:H28)</f>
        <v>8053</v>
      </c>
      <c r="I29" s="55">
        <f t="shared" si="5"/>
        <v>49.24177571236395</v>
      </c>
      <c r="J29" s="57">
        <f>SUM(J24:J28)</f>
        <v>25415</v>
      </c>
      <c r="K29" s="57">
        <f>SUM(K24:K28)</f>
        <v>25415</v>
      </c>
      <c r="L29" s="57">
        <f>SUM(L24:L28)</f>
        <v>15633</v>
      </c>
      <c r="M29" s="55">
        <f t="shared" si="6"/>
        <v>61.510918748770415</v>
      </c>
    </row>
    <row r="30" spans="1:13" ht="15.75">
      <c r="A30" s="38" t="s">
        <v>90</v>
      </c>
      <c r="B30" s="23"/>
      <c r="C30" s="23"/>
      <c r="D30" s="23"/>
      <c r="E30" s="55"/>
      <c r="F30" s="23"/>
      <c r="G30" s="23"/>
      <c r="H30" s="23"/>
      <c r="I30" s="30"/>
      <c r="J30" s="23"/>
      <c r="K30" s="23"/>
      <c r="L30" s="23"/>
      <c r="M30" s="30"/>
    </row>
    <row r="31" spans="1:13" ht="15.75">
      <c r="A31" s="38" t="s">
        <v>44</v>
      </c>
      <c r="B31" s="7">
        <v>39697</v>
      </c>
      <c r="C31" s="7">
        <f>+B31+1128+1263</f>
        <v>42088</v>
      </c>
      <c r="D31" s="7">
        <v>19480</v>
      </c>
      <c r="E31" s="30">
        <f t="shared" si="4"/>
        <v>46.28397643033644</v>
      </c>
      <c r="F31" s="7">
        <v>13274</v>
      </c>
      <c r="G31" s="7">
        <f>+F31+361+404</f>
        <v>14039</v>
      </c>
      <c r="H31" s="7">
        <v>6407</v>
      </c>
      <c r="I31" s="30">
        <f t="shared" si="5"/>
        <v>45.6371536434219</v>
      </c>
      <c r="J31" s="7">
        <v>3178</v>
      </c>
      <c r="K31" s="7">
        <f>+J31</f>
        <v>3178</v>
      </c>
      <c r="L31" s="7">
        <v>2127</v>
      </c>
      <c r="M31" s="30">
        <f t="shared" si="6"/>
        <v>66.9288860918817</v>
      </c>
    </row>
    <row r="32" spans="1:13" ht="15.75">
      <c r="A32" s="38" t="s">
        <v>56</v>
      </c>
      <c r="B32" s="7">
        <v>1123</v>
      </c>
      <c r="C32" s="7">
        <f>+B32+35</f>
        <v>1158</v>
      </c>
      <c r="D32" s="7">
        <v>544</v>
      </c>
      <c r="E32" s="30">
        <f t="shared" si="4"/>
        <v>46.97754749568221</v>
      </c>
      <c r="F32" s="7">
        <v>381</v>
      </c>
      <c r="G32" s="7">
        <f>+F32+11</f>
        <v>392</v>
      </c>
      <c r="H32" s="7">
        <v>184</v>
      </c>
      <c r="I32" s="30">
        <f t="shared" si="5"/>
        <v>46.93877551020408</v>
      </c>
      <c r="J32" s="7">
        <v>682</v>
      </c>
      <c r="K32" s="7">
        <f>+J32</f>
        <v>682</v>
      </c>
      <c r="L32" s="7">
        <v>391</v>
      </c>
      <c r="M32" s="30">
        <f t="shared" si="6"/>
        <v>57.33137829912024</v>
      </c>
    </row>
    <row r="33" spans="1:13" ht="15.75">
      <c r="A33" s="38" t="s">
        <v>25</v>
      </c>
      <c r="B33" s="7">
        <v>75</v>
      </c>
      <c r="C33" s="7">
        <f>+B33</f>
        <v>75</v>
      </c>
      <c r="D33" s="7">
        <v>50</v>
      </c>
      <c r="E33" s="30">
        <f t="shared" si="4"/>
        <v>66.66666666666666</v>
      </c>
      <c r="F33" s="7">
        <v>21</v>
      </c>
      <c r="G33" s="7">
        <f>+F33</f>
        <v>21</v>
      </c>
      <c r="H33" s="9"/>
      <c r="I33" s="30"/>
      <c r="J33" s="7">
        <v>12973</v>
      </c>
      <c r="K33" s="7">
        <f>+J33</f>
        <v>12973</v>
      </c>
      <c r="L33" s="7">
        <v>6794</v>
      </c>
      <c r="M33" s="30">
        <f t="shared" si="6"/>
        <v>52.37030756185924</v>
      </c>
    </row>
    <row r="34" spans="1:13" s="32" customFormat="1" ht="15.75">
      <c r="A34" s="53" t="s">
        <v>69</v>
      </c>
      <c r="B34" s="130">
        <f>SUM(B31:B33)</f>
        <v>40895</v>
      </c>
      <c r="C34" s="130">
        <f>SUM(C31:C33)</f>
        <v>43321</v>
      </c>
      <c r="D34" s="130">
        <f>SUM(D31:D33)</f>
        <v>20074</v>
      </c>
      <c r="E34" s="55">
        <f>D34/C34*100</f>
        <v>46.33780383647654</v>
      </c>
      <c r="F34" s="131">
        <f>SUM(F31:F33)</f>
        <v>13676</v>
      </c>
      <c r="G34" s="131">
        <f>SUM(G31:G33)</f>
        <v>14452</v>
      </c>
      <c r="H34" s="131">
        <f>SUM(H31:H33)</f>
        <v>6591</v>
      </c>
      <c r="I34" s="55">
        <f t="shared" si="5"/>
        <v>45.6061444782729</v>
      </c>
      <c r="J34" s="131">
        <f>SUM(J31:J33)</f>
        <v>16833</v>
      </c>
      <c r="K34" s="131">
        <f>SUM(K31:K33)</f>
        <v>16833</v>
      </c>
      <c r="L34" s="131">
        <f>SUM(L31:L33)</f>
        <v>9312</v>
      </c>
      <c r="M34" s="132">
        <f t="shared" si="6"/>
        <v>55.31990732489752</v>
      </c>
    </row>
    <row r="35" spans="1:13" ht="15.75">
      <c r="A35" s="53" t="s">
        <v>52</v>
      </c>
      <c r="B35" s="93"/>
      <c r="C35" s="93"/>
      <c r="D35" s="102"/>
      <c r="E35" s="132"/>
      <c r="F35" s="104"/>
      <c r="G35" s="93"/>
      <c r="H35" s="102"/>
      <c r="I35" s="135"/>
      <c r="J35" s="104"/>
      <c r="K35" s="93"/>
      <c r="L35" s="102"/>
      <c r="M35" s="135"/>
    </row>
    <row r="36" spans="1:13" ht="15.75">
      <c r="A36" s="58" t="s">
        <v>53</v>
      </c>
      <c r="B36" s="59">
        <f>SUM(B34,B29)</f>
        <v>89691</v>
      </c>
      <c r="C36" s="59">
        <f>SUM(C34,C29)</f>
        <v>95110</v>
      </c>
      <c r="D36" s="103">
        <f>SUM(D34,D29)</f>
        <v>46979</v>
      </c>
      <c r="E36" s="134">
        <f t="shared" si="4"/>
        <v>49.39438544842814</v>
      </c>
      <c r="F36" s="105">
        <f>SUM(F34,F29)</f>
        <v>29073</v>
      </c>
      <c r="G36" s="59">
        <f>G29+G34</f>
        <v>30806</v>
      </c>
      <c r="H36" s="103">
        <f>SUM(H34,H29)</f>
        <v>14644</v>
      </c>
      <c r="I36" s="134">
        <f t="shared" si="5"/>
        <v>47.536194247873794</v>
      </c>
      <c r="J36" s="105">
        <f>SUM(J34,J29)</f>
        <v>42248</v>
      </c>
      <c r="K36" s="59">
        <f>SUM(K34,K29)</f>
        <v>42248</v>
      </c>
      <c r="L36" s="103">
        <f>SUM(L34,L29)</f>
        <v>24945</v>
      </c>
      <c r="M36" s="134">
        <f t="shared" si="6"/>
        <v>59.04421511077448</v>
      </c>
    </row>
    <row r="37" spans="1:13" ht="15.75">
      <c r="A37" s="179"/>
      <c r="B37" s="179"/>
      <c r="C37" s="179"/>
      <c r="D37" s="179"/>
      <c r="E37" s="179"/>
      <c r="F37" s="179"/>
      <c r="G37" s="179"/>
      <c r="H37" s="179"/>
      <c r="I37" s="179"/>
      <c r="J37" s="6"/>
      <c r="K37" s="6"/>
      <c r="L37" s="6"/>
      <c r="M37" s="6"/>
    </row>
    <row r="38" spans="1:13" ht="15.75" customHeight="1">
      <c r="A38" s="174">
        <v>5</v>
      </c>
      <c r="B38" s="174"/>
      <c r="C38" s="174"/>
      <c r="D38" s="174"/>
      <c r="E38" s="174"/>
      <c r="F38" s="174"/>
      <c r="G38" s="174"/>
      <c r="H38" s="174"/>
      <c r="I38" s="174"/>
      <c r="J38" s="174"/>
      <c r="K38" s="174"/>
      <c r="L38" s="174"/>
      <c r="M38" s="174"/>
    </row>
    <row r="39" spans="1:13" ht="12.75">
      <c r="A39" s="174"/>
      <c r="B39" s="174"/>
      <c r="C39" s="174"/>
      <c r="D39" s="174"/>
      <c r="E39" s="174"/>
      <c r="F39" s="174"/>
      <c r="G39" s="174"/>
      <c r="H39" s="174"/>
      <c r="I39" s="174"/>
      <c r="J39" s="174"/>
      <c r="K39" s="174"/>
      <c r="L39" s="174"/>
      <c r="M39" s="174"/>
    </row>
  </sheetData>
  <mergeCells count="24">
    <mergeCell ref="I22:I23"/>
    <mergeCell ref="J22:J23"/>
    <mergeCell ref="K22:K23"/>
    <mergeCell ref="L22:L23"/>
    <mergeCell ref="D22:D23"/>
    <mergeCell ref="B7:E7"/>
    <mergeCell ref="F7:I7"/>
    <mergeCell ref="A2:M2"/>
    <mergeCell ref="A3:M3"/>
    <mergeCell ref="E22:E23"/>
    <mergeCell ref="F22:F23"/>
    <mergeCell ref="G22:G23"/>
    <mergeCell ref="H22:H23"/>
    <mergeCell ref="M22:M23"/>
    <mergeCell ref="A38:M39"/>
    <mergeCell ref="H8:H9"/>
    <mergeCell ref="J7:M7"/>
    <mergeCell ref="L8:L9"/>
    <mergeCell ref="A37:I37"/>
    <mergeCell ref="A8:A9"/>
    <mergeCell ref="D8:D9"/>
    <mergeCell ref="A22:A23"/>
    <mergeCell ref="B22:B23"/>
    <mergeCell ref="C22:C23"/>
  </mergeCells>
  <printOptions horizontalCentered="1" verticalCentered="1"/>
  <pageMargins left="0.1968503937007874" right="0.1968503937007874" top="0.3937007874015748" bottom="0.3937007874015748" header="0.31496062992125984" footer="0.31496062992125984"/>
  <pageSetup fitToHeight="1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zoomScale="90" zoomScaleNormal="90" workbookViewId="0" topLeftCell="A7">
      <selection activeCell="G31" sqref="G31"/>
    </sheetView>
  </sheetViews>
  <sheetFormatPr defaultColWidth="9.140625" defaultRowHeight="12.75"/>
  <cols>
    <col min="1" max="1" width="50.140625" style="4" customWidth="1"/>
    <col min="2" max="2" width="11.28125" style="4" customWidth="1"/>
    <col min="3" max="3" width="12.8515625" style="4" customWidth="1"/>
    <col min="4" max="4" width="9.8515625" style="4" customWidth="1"/>
    <col min="5" max="5" width="10.7109375" style="4" customWidth="1"/>
    <col min="6" max="7" width="9.140625" style="4" customWidth="1"/>
    <col min="8" max="8" width="10.7109375" style="4" customWidth="1"/>
    <col min="9" max="9" width="11.00390625" style="4" customWidth="1"/>
    <col min="10" max="11" width="10.28125" style="4" customWidth="1"/>
    <col min="12" max="12" width="10.57421875" style="4" customWidth="1"/>
    <col min="13" max="13" width="9.28125" style="4" customWidth="1"/>
    <col min="14" max="16384" width="9.140625" style="4" customWidth="1"/>
  </cols>
  <sheetData>
    <row r="1" ht="15.75">
      <c r="M1" s="92" t="s">
        <v>0</v>
      </c>
    </row>
    <row r="2" spans="1:13" ht="18.75">
      <c r="A2" s="177" t="s">
        <v>1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</row>
    <row r="3" spans="1:13" ht="18.75">
      <c r="A3" s="177" t="s">
        <v>121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</row>
    <row r="4" spans="1:12" ht="15.75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</row>
    <row r="5" spans="1:13" ht="15.75">
      <c r="A5" s="88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</row>
    <row r="6" spans="1:13" ht="15.75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91" t="s">
        <v>24</v>
      </c>
      <c r="M6" s="91"/>
    </row>
    <row r="7" spans="1:13" ht="15.75">
      <c r="A7" s="35"/>
      <c r="B7" s="172" t="s">
        <v>70</v>
      </c>
      <c r="C7" s="172"/>
      <c r="D7" s="173"/>
      <c r="E7" s="173"/>
      <c r="F7" s="172" t="s">
        <v>64</v>
      </c>
      <c r="G7" s="173"/>
      <c r="H7" s="173"/>
      <c r="I7" s="173"/>
      <c r="J7" s="173" t="s">
        <v>16</v>
      </c>
      <c r="K7" s="173"/>
      <c r="L7" s="173"/>
      <c r="M7" s="173"/>
    </row>
    <row r="8" spans="1:13" ht="15.75">
      <c r="A8" s="175" t="s">
        <v>5</v>
      </c>
      <c r="B8" s="110" t="s">
        <v>6</v>
      </c>
      <c r="C8" s="126" t="s">
        <v>17</v>
      </c>
      <c r="D8" s="169" t="s">
        <v>9</v>
      </c>
      <c r="E8" s="168" t="s">
        <v>18</v>
      </c>
      <c r="F8" s="110" t="s">
        <v>6</v>
      </c>
      <c r="G8" s="176" t="s">
        <v>19</v>
      </c>
      <c r="H8" s="166" t="s">
        <v>9</v>
      </c>
      <c r="I8" s="166" t="s">
        <v>20</v>
      </c>
      <c r="J8" s="173" t="s">
        <v>21</v>
      </c>
      <c r="K8" s="173" t="s">
        <v>19</v>
      </c>
      <c r="L8" s="166" t="s">
        <v>9</v>
      </c>
      <c r="M8" s="166" t="s">
        <v>20</v>
      </c>
    </row>
    <row r="9" spans="1:13" ht="15.75">
      <c r="A9" s="175"/>
      <c r="B9" s="112" t="s">
        <v>22</v>
      </c>
      <c r="C9" s="127" t="s">
        <v>22</v>
      </c>
      <c r="D9" s="169"/>
      <c r="E9" s="168"/>
      <c r="F9" s="112" t="s">
        <v>22</v>
      </c>
      <c r="G9" s="176"/>
      <c r="H9" s="166"/>
      <c r="I9" s="166"/>
      <c r="J9" s="173"/>
      <c r="K9" s="173"/>
      <c r="L9" s="166"/>
      <c r="M9" s="166"/>
    </row>
    <row r="10" spans="1:13" ht="17.25" customHeight="1">
      <c r="A10" s="39" t="s">
        <v>99</v>
      </c>
      <c r="B10" s="111"/>
      <c r="C10" s="111"/>
      <c r="D10" s="37"/>
      <c r="E10" s="12"/>
      <c r="F10" s="111"/>
      <c r="G10" s="37"/>
      <c r="H10" s="37"/>
      <c r="I10" s="12"/>
      <c r="J10" s="37"/>
      <c r="K10" s="37"/>
      <c r="L10" s="37"/>
      <c r="M10" s="37"/>
    </row>
    <row r="11" spans="1:13" ht="15.75">
      <c r="A11" s="38" t="s">
        <v>33</v>
      </c>
      <c r="B11" s="7"/>
      <c r="C11" s="7"/>
      <c r="D11" s="7"/>
      <c r="E11" s="8"/>
      <c r="F11" s="7"/>
      <c r="G11" s="7"/>
      <c r="H11" s="7"/>
      <c r="I11" s="8"/>
      <c r="J11" s="7">
        <f>F11+B11+kiad5!B11+kiad5!F11+kiad5!J11</f>
        <v>31856</v>
      </c>
      <c r="K11" s="7">
        <f>G11+C11+kiad5!C11+kiad5!G11+kiad5!K11</f>
        <v>32930</v>
      </c>
      <c r="L11" s="7">
        <f>H11+D11+kiad5!D11+kiad5!H11+kiad5!L11</f>
        <v>15446</v>
      </c>
      <c r="M11" s="8">
        <f>L11/K11*100</f>
        <v>46.90555724263589</v>
      </c>
    </row>
    <row r="12" spans="1:13" ht="15.75">
      <c r="A12" s="38" t="s">
        <v>34</v>
      </c>
      <c r="B12" s="14"/>
      <c r="C12" s="14"/>
      <c r="D12" s="14"/>
      <c r="E12" s="8"/>
      <c r="F12" s="13"/>
      <c r="G12" s="13"/>
      <c r="H12" s="13"/>
      <c r="I12" s="10"/>
      <c r="J12" s="7">
        <f>F12+B12+kiad5!B12+kiad5!F12+kiad5!J12</f>
        <v>6840</v>
      </c>
      <c r="K12" s="7">
        <f>G12+C12+kiad5!C12+kiad5!G12+kiad5!K12</f>
        <v>7385</v>
      </c>
      <c r="L12" s="7">
        <f>H12+D12+kiad5!D12+kiad5!H12+kiad5!L12</f>
        <v>2881</v>
      </c>
      <c r="M12" s="8">
        <f aca="true" t="shared" si="0" ref="M12:M21">L12/K12*100</f>
        <v>39.01150981719702</v>
      </c>
    </row>
    <row r="13" spans="1:13" ht="15.75">
      <c r="A13" s="38" t="s">
        <v>35</v>
      </c>
      <c r="B13" s="7"/>
      <c r="C13" s="7"/>
      <c r="D13" s="7"/>
      <c r="E13" s="8"/>
      <c r="F13" s="9"/>
      <c r="G13" s="9"/>
      <c r="H13" s="9"/>
      <c r="I13" s="10"/>
      <c r="J13" s="7">
        <f>F13+B13+kiad5!B13+kiad5!F13+kiad5!J13</f>
        <v>7540</v>
      </c>
      <c r="K13" s="7">
        <f>G13+C13+kiad5!C13+kiad5!G13+kiad5!K13</f>
        <v>8162</v>
      </c>
      <c r="L13" s="7">
        <f>H13+D13+kiad5!D13+kiad5!H13+kiad5!L13</f>
        <v>4544</v>
      </c>
      <c r="M13" s="8">
        <f t="shared" si="0"/>
        <v>55.67262925753492</v>
      </c>
    </row>
    <row r="14" spans="1:13" ht="15.75">
      <c r="A14" s="38" t="s">
        <v>36</v>
      </c>
      <c r="B14" s="7"/>
      <c r="C14" s="7"/>
      <c r="D14" s="7"/>
      <c r="E14" s="8"/>
      <c r="F14" s="9"/>
      <c r="G14" s="9"/>
      <c r="H14" s="9"/>
      <c r="I14" s="10"/>
      <c r="J14" s="7">
        <f>F14+B14+kiad5!B14+kiad5!F14+kiad5!J14</f>
        <v>5510</v>
      </c>
      <c r="K14" s="7">
        <f>G14+C14+kiad5!C14+kiad5!G14+kiad5!K14</f>
        <v>5883</v>
      </c>
      <c r="L14" s="7">
        <f>H14+D14+kiad5!D14+kiad5!H14+kiad5!L14</f>
        <v>2598</v>
      </c>
      <c r="M14" s="8">
        <f t="shared" si="0"/>
        <v>44.16114227434982</v>
      </c>
    </row>
    <row r="15" spans="1:13" ht="15.75">
      <c r="A15" s="38" t="s">
        <v>37</v>
      </c>
      <c r="B15" s="7"/>
      <c r="C15" s="7"/>
      <c r="D15" s="7"/>
      <c r="E15" s="8"/>
      <c r="F15" s="9"/>
      <c r="G15" s="9"/>
      <c r="H15" s="9"/>
      <c r="I15" s="10"/>
      <c r="J15" s="7">
        <f>F15+B15+kiad5!B15+kiad5!F15+kiad5!J15</f>
        <v>22686</v>
      </c>
      <c r="K15" s="7">
        <f>G15+C15+kiad5!C15+kiad5!G15+kiad5!K15</f>
        <v>22830</v>
      </c>
      <c r="L15" s="7">
        <f>H15+D15+kiad5!D15+kiad5!H15+kiad5!L15</f>
        <v>8637</v>
      </c>
      <c r="M15" s="8">
        <f t="shared" si="0"/>
        <v>37.83180026281209</v>
      </c>
    </row>
    <row r="16" spans="1:13" ht="15.75">
      <c r="A16" s="38" t="s">
        <v>100</v>
      </c>
      <c r="B16" s="7"/>
      <c r="C16" s="7"/>
      <c r="D16" s="7"/>
      <c r="E16" s="8"/>
      <c r="F16" s="7"/>
      <c r="G16" s="7"/>
      <c r="H16" s="7"/>
      <c r="I16" s="8"/>
      <c r="J16" s="7">
        <f>F16+B16+kiad5!B16+kiad5!F16+kiad5!J16</f>
        <v>2791</v>
      </c>
      <c r="K16" s="7">
        <f>G16+C16+kiad5!C16+kiad5!G16+kiad5!K16</f>
        <v>2938</v>
      </c>
      <c r="L16" s="7">
        <f>H16+D16+kiad5!D16+kiad5!H16+kiad5!L16</f>
        <v>1517</v>
      </c>
      <c r="M16" s="8">
        <f t="shared" si="0"/>
        <v>51.633764465622875</v>
      </c>
    </row>
    <row r="17" spans="1:13" ht="15.75">
      <c r="A17" s="38" t="s">
        <v>54</v>
      </c>
      <c r="B17" s="7"/>
      <c r="C17" s="7"/>
      <c r="D17" s="7"/>
      <c r="E17" s="8"/>
      <c r="F17" s="9"/>
      <c r="G17" s="9"/>
      <c r="H17" s="9"/>
      <c r="I17" s="10"/>
      <c r="J17" s="7">
        <f>F17+B17+kiad5!B17+kiad5!F17+kiad5!J17</f>
        <v>9473</v>
      </c>
      <c r="K17" s="7">
        <f>G17+C17+kiad5!C17+kiad5!G17+kiad5!K17</f>
        <v>10217</v>
      </c>
      <c r="L17" s="7">
        <f>H17+D17+kiad5!D17+kiad5!H17+kiad5!L17</f>
        <v>4890</v>
      </c>
      <c r="M17" s="8">
        <f t="shared" si="0"/>
        <v>47.86140745815797</v>
      </c>
    </row>
    <row r="18" spans="1:13" ht="15.75">
      <c r="A18" s="38" t="s">
        <v>55</v>
      </c>
      <c r="B18" s="7"/>
      <c r="C18" s="7"/>
      <c r="D18" s="7"/>
      <c r="E18" s="8"/>
      <c r="F18" s="9"/>
      <c r="G18" s="9"/>
      <c r="H18" s="9"/>
      <c r="I18" s="10"/>
      <c r="J18" s="7">
        <f>F18+B18+kiad5!B18+kiad5!F18+kiad5!J18</f>
        <v>440</v>
      </c>
      <c r="K18" s="7">
        <f>G18+C18+kiad5!C18+kiad5!G18+kiad5!K18</f>
        <v>440</v>
      </c>
      <c r="L18" s="7">
        <f>H18+D18+kiad5!D18+kiad5!H18+kiad5!L18</f>
        <v>168</v>
      </c>
      <c r="M18" s="8">
        <f t="shared" si="0"/>
        <v>38.18181818181819</v>
      </c>
    </row>
    <row r="19" spans="1:13" ht="15.75">
      <c r="A19" s="38" t="s">
        <v>101</v>
      </c>
      <c r="B19" s="7"/>
      <c r="C19" s="7"/>
      <c r="D19" s="7"/>
      <c r="E19" s="8"/>
      <c r="F19" s="9"/>
      <c r="G19" s="9"/>
      <c r="H19" s="9"/>
      <c r="I19" s="10"/>
      <c r="J19" s="7">
        <f>F19+B19+kiad5!B19+kiad5!F19+kiad5!J19</f>
        <v>19528</v>
      </c>
      <c r="K19" s="7">
        <f>G19+C19+kiad5!C19+kiad5!G19+kiad5!K19</f>
        <v>21058</v>
      </c>
      <c r="L19" s="7">
        <f>H19+D19+kiad5!D19+kiad5!H19+kiad5!L19</f>
        <v>10132</v>
      </c>
      <c r="M19" s="8">
        <f t="shared" si="0"/>
        <v>48.11473074366037</v>
      </c>
    </row>
    <row r="20" spans="1:13" s="19" customFormat="1" ht="15.75">
      <c r="A20" s="38" t="s">
        <v>129</v>
      </c>
      <c r="B20" s="94"/>
      <c r="C20" s="94"/>
      <c r="D20" s="94"/>
      <c r="E20" s="94"/>
      <c r="F20" s="94"/>
      <c r="G20" s="94"/>
      <c r="H20" s="94"/>
      <c r="I20" s="94"/>
      <c r="J20" s="7">
        <f>F20+B20+kiad5!B20+kiad5!F20+kiad5!J20</f>
        <v>85054</v>
      </c>
      <c r="K20" s="7">
        <f>G20+C20+kiad5!C20+kiad5!G20+kiad5!K20</f>
        <v>85054</v>
      </c>
      <c r="L20" s="7">
        <f>H20+D20+kiad5!D20+kiad5!H20+kiad5!L20</f>
        <v>33609</v>
      </c>
      <c r="M20" s="8">
        <f t="shared" si="0"/>
        <v>39.514896418745735</v>
      </c>
    </row>
    <row r="21" spans="1:13" ht="15.75">
      <c r="A21" s="39" t="s">
        <v>38</v>
      </c>
      <c r="B21" s="11">
        <f>SUM(B11:B20)</f>
        <v>0</v>
      </c>
      <c r="C21" s="11">
        <f>SUM(C11:C20)</f>
        <v>0</v>
      </c>
      <c r="D21" s="11">
        <f>SUM(D11:D20)</f>
        <v>0</v>
      </c>
      <c r="E21" s="12"/>
      <c r="F21" s="11">
        <f>SUM(F11:F20)</f>
        <v>0</v>
      </c>
      <c r="G21" s="11">
        <f>SUM(G11:G20)</f>
        <v>0</v>
      </c>
      <c r="H21" s="11">
        <f>SUM(H11:H20)</f>
        <v>0</v>
      </c>
      <c r="I21" s="12"/>
      <c r="J21" s="11">
        <f>F21+B21+kiad5!B21+kiad5!F21+kiad5!J21</f>
        <v>191718</v>
      </c>
      <c r="K21" s="11">
        <f>G21+C21+kiad5!C21+kiad5!G21+kiad5!K21</f>
        <v>196897</v>
      </c>
      <c r="L21" s="11">
        <f>H21+D21+kiad5!D21+kiad5!H21+kiad5!L21</f>
        <v>84422</v>
      </c>
      <c r="M21" s="12">
        <f t="shared" si="0"/>
        <v>42.87622462505777</v>
      </c>
    </row>
    <row r="22" spans="1:13" ht="30.75" customHeight="1">
      <c r="A22" s="39" t="s">
        <v>104</v>
      </c>
      <c r="B22" s="7"/>
      <c r="C22" s="7"/>
      <c r="D22" s="7"/>
      <c r="E22" s="8"/>
      <c r="F22" s="7"/>
      <c r="G22" s="7"/>
      <c r="H22" s="7"/>
      <c r="I22" s="8"/>
      <c r="J22" s="7"/>
      <c r="K22" s="7"/>
      <c r="L22" s="7"/>
      <c r="M22" s="8"/>
    </row>
    <row r="23" spans="1:13" ht="15" customHeight="1">
      <c r="A23" s="38" t="s">
        <v>41</v>
      </c>
      <c r="B23" s="7"/>
      <c r="C23" s="7"/>
      <c r="D23" s="7"/>
      <c r="E23" s="8"/>
      <c r="F23" s="7">
        <v>1267</v>
      </c>
      <c r="G23" s="7">
        <f>+F23</f>
        <v>1267</v>
      </c>
      <c r="H23" s="7"/>
      <c r="I23" s="8"/>
      <c r="J23" s="7">
        <f>F23+B23+kiad5!B24+kiad5!F24+kiad5!J24</f>
        <v>56984</v>
      </c>
      <c r="K23" s="7">
        <f>G23+C23+kiad5!C24+kiad5!G24+kiad5!K24</f>
        <v>60350</v>
      </c>
      <c r="L23" s="7">
        <f>H23+D23+kiad5!D24+kiad5!H24+kiad5!L24</f>
        <v>29159</v>
      </c>
      <c r="M23" s="8">
        <f>L23/K23*100</f>
        <v>48.31648715824358</v>
      </c>
    </row>
    <row r="24" spans="1:13" ht="15.75">
      <c r="A24" s="38" t="s">
        <v>42</v>
      </c>
      <c r="B24" s="7"/>
      <c r="C24" s="7"/>
      <c r="D24" s="7"/>
      <c r="E24" s="8"/>
      <c r="F24" s="9"/>
      <c r="G24" s="9"/>
      <c r="H24" s="9"/>
      <c r="I24" s="10"/>
      <c r="J24" s="7">
        <f>F24+B24+kiad5!B25+kiad5!F25+kiad5!J25</f>
        <v>4853</v>
      </c>
      <c r="K24" s="7">
        <f>G24+C24+kiad5!C25+kiad5!G25+kiad5!K25</f>
        <v>5222</v>
      </c>
      <c r="L24" s="7">
        <f>H24+D24+kiad5!D25+kiad5!H25+kiad5!L25</f>
        <v>2884</v>
      </c>
      <c r="M24" s="8">
        <f aca="true" t="shared" si="1" ref="M24:M33">L24/K24*100</f>
        <v>55.22788203753352</v>
      </c>
    </row>
    <row r="25" spans="1:13" ht="15.75">
      <c r="A25" s="38" t="s">
        <v>115</v>
      </c>
      <c r="B25" s="7"/>
      <c r="C25" s="7"/>
      <c r="D25" s="7"/>
      <c r="E25" s="8"/>
      <c r="F25" s="9"/>
      <c r="G25" s="9"/>
      <c r="H25" s="9"/>
      <c r="I25" s="10"/>
      <c r="J25" s="7">
        <f>F25+B25+kiad5!B26+kiad5!F26+kiad5!J26</f>
        <v>8196</v>
      </c>
      <c r="K25" s="7">
        <f>G25+C25+kiad5!C26+kiad5!G26+kiad5!K26</f>
        <v>8411</v>
      </c>
      <c r="L25" s="7">
        <f>H25+D25+kiad5!D26+kiad5!H26+kiad5!L26</f>
        <v>4038</v>
      </c>
      <c r="M25" s="8">
        <f t="shared" si="1"/>
        <v>48.00856021876115</v>
      </c>
    </row>
    <row r="26" spans="1:13" ht="15.75">
      <c r="A26" s="38" t="s">
        <v>25</v>
      </c>
      <c r="B26" s="7"/>
      <c r="C26" s="7"/>
      <c r="D26" s="7"/>
      <c r="E26" s="8"/>
      <c r="F26" s="9"/>
      <c r="G26" s="9"/>
      <c r="H26" s="9"/>
      <c r="I26" s="10"/>
      <c r="J26" s="7">
        <f>F26+B26+kiad5!B27+kiad5!F27+kiad5!J27</f>
        <v>13712</v>
      </c>
      <c r="K26" s="7">
        <f>G26+C26+kiad5!C27+kiad5!G27+kiad5!K27</f>
        <v>13712</v>
      </c>
      <c r="L26" s="7">
        <f>H26+D26+kiad5!D27+kiad5!H27+kiad5!L27</f>
        <v>7386</v>
      </c>
      <c r="M26" s="8">
        <f t="shared" si="1"/>
        <v>53.86522753792299</v>
      </c>
    </row>
    <row r="27" spans="1:13" ht="15.75">
      <c r="A27" s="38" t="s">
        <v>102</v>
      </c>
      <c r="B27" s="7">
        <v>1230</v>
      </c>
      <c r="C27" s="7">
        <f>+B27</f>
        <v>1230</v>
      </c>
      <c r="D27" s="7">
        <v>1228</v>
      </c>
      <c r="E27" s="8">
        <f>+D27/C27*100</f>
        <v>99.83739837398375</v>
      </c>
      <c r="F27" s="9"/>
      <c r="G27" s="9"/>
      <c r="H27" s="9"/>
      <c r="I27" s="10"/>
      <c r="J27" s="7">
        <f>F27+B27+kiad5!B28+kiad5!F28+kiad5!J28</f>
        <v>8360</v>
      </c>
      <c r="K27" s="7">
        <f>G27+C27+kiad5!C28+kiad5!G28+kiad5!K28</f>
        <v>8360</v>
      </c>
      <c r="L27" s="7">
        <f>H27+D27+kiad5!D28+kiad5!H28+kiad5!L28</f>
        <v>8352</v>
      </c>
      <c r="M27" s="8">
        <f t="shared" si="1"/>
        <v>99.90430622009569</v>
      </c>
    </row>
    <row r="28" spans="1:13" s="24" customFormat="1" ht="15.75">
      <c r="A28" s="56" t="s">
        <v>43</v>
      </c>
      <c r="B28" s="57">
        <f>B23+B24+B25+B26+B27</f>
        <v>1230</v>
      </c>
      <c r="C28" s="57">
        <f>C23+C24+C25+C26+C27</f>
        <v>1230</v>
      </c>
      <c r="D28" s="57">
        <f>D23+D24+D25+D26+D27</f>
        <v>1228</v>
      </c>
      <c r="E28" s="187">
        <f>+D28/C28*100</f>
        <v>99.83739837398375</v>
      </c>
      <c r="F28" s="57">
        <f>F23+F24+F25+F26+F27</f>
        <v>1267</v>
      </c>
      <c r="G28" s="57">
        <f>G23+G24+G25+G26+G27</f>
        <v>1267</v>
      </c>
      <c r="H28" s="57">
        <f>H23+H24+H25+H26+H27</f>
        <v>0</v>
      </c>
      <c r="I28" s="57"/>
      <c r="J28" s="57">
        <f>J23+J24+J25+J26+J27</f>
        <v>92105</v>
      </c>
      <c r="K28" s="57">
        <f>K23+K24+K25+K26+K27</f>
        <v>96055</v>
      </c>
      <c r="L28" s="57">
        <f>L23+L24+L25+L26+L27</f>
        <v>51819</v>
      </c>
      <c r="M28" s="12">
        <f t="shared" si="1"/>
        <v>53.94721773983655</v>
      </c>
    </row>
    <row r="29" spans="1:13" s="24" customFormat="1" ht="15.75">
      <c r="A29" s="39" t="s">
        <v>91</v>
      </c>
      <c r="B29" s="23"/>
      <c r="C29" s="23"/>
      <c r="D29" s="23"/>
      <c r="E29" s="25"/>
      <c r="F29" s="23"/>
      <c r="G29" s="23"/>
      <c r="H29" s="23"/>
      <c r="I29" s="25"/>
      <c r="J29" s="7"/>
      <c r="K29" s="7"/>
      <c r="L29" s="7"/>
      <c r="M29" s="8"/>
    </row>
    <row r="30" spans="1:13" ht="15.75">
      <c r="A30" s="38" t="s">
        <v>44</v>
      </c>
      <c r="B30" s="7"/>
      <c r="C30" s="7"/>
      <c r="D30" s="7"/>
      <c r="E30" s="8"/>
      <c r="F30" s="7"/>
      <c r="G30" s="7"/>
      <c r="H30" s="7"/>
      <c r="I30" s="8"/>
      <c r="J30" s="7">
        <f>F30+B30+kiad5!B31+kiad5!F31+kiad5!J31</f>
        <v>56149</v>
      </c>
      <c r="K30" s="7">
        <f>G30+C30+kiad5!C31+kiad5!G31+kiad5!K31</f>
        <v>59305</v>
      </c>
      <c r="L30" s="7">
        <f>H30+D30+kiad5!D31+kiad5!H31+kiad5!L31</f>
        <v>28014</v>
      </c>
      <c r="M30" s="8">
        <f t="shared" si="1"/>
        <v>47.237163814180924</v>
      </c>
    </row>
    <row r="31" spans="1:13" ht="15.75">
      <c r="A31" s="38" t="s">
        <v>56</v>
      </c>
      <c r="B31" s="29"/>
      <c r="C31" s="29"/>
      <c r="D31" s="29"/>
      <c r="E31" s="8"/>
      <c r="F31" s="69"/>
      <c r="G31" s="69"/>
      <c r="H31" s="69"/>
      <c r="I31" s="10"/>
      <c r="J31" s="7">
        <f>F31+B31+kiad5!B32+kiad5!F32+kiad5!J32</f>
        <v>2186</v>
      </c>
      <c r="K31" s="7">
        <f>G31+C31+kiad5!C32+kiad5!G32+kiad5!K32</f>
        <v>2232</v>
      </c>
      <c r="L31" s="7">
        <f>H31+D31+kiad5!D32+kiad5!H32+kiad5!L32</f>
        <v>1119</v>
      </c>
      <c r="M31" s="8">
        <f t="shared" si="1"/>
        <v>50.134408602150536</v>
      </c>
    </row>
    <row r="32" spans="1:13" ht="15.75">
      <c r="A32" s="38" t="s">
        <v>25</v>
      </c>
      <c r="B32" s="29"/>
      <c r="C32" s="29"/>
      <c r="D32" s="29"/>
      <c r="E32" s="8"/>
      <c r="F32" s="69"/>
      <c r="G32" s="69"/>
      <c r="H32" s="69"/>
      <c r="I32" s="10"/>
      <c r="J32" s="7">
        <f>F32+B32+kiad5!B33+kiad5!F33+kiad5!J33</f>
        <v>13069</v>
      </c>
      <c r="K32" s="7">
        <f>G32+C32+kiad5!C33+kiad5!G33+kiad5!K33</f>
        <v>13069</v>
      </c>
      <c r="L32" s="7">
        <f>H32+D32+kiad5!D33+kiad5!H33+kiad5!L33</f>
        <v>6844</v>
      </c>
      <c r="M32" s="8">
        <f t="shared" si="1"/>
        <v>52.3681995562017</v>
      </c>
    </row>
    <row r="33" spans="1:13" s="27" customFormat="1" ht="15.75">
      <c r="A33" s="56" t="s">
        <v>82</v>
      </c>
      <c r="B33" s="47"/>
      <c r="C33" s="47"/>
      <c r="D33" s="47"/>
      <c r="E33" s="25"/>
      <c r="F33" s="47"/>
      <c r="G33" s="47"/>
      <c r="H33" s="47"/>
      <c r="I33" s="25"/>
      <c r="J33" s="57">
        <f>F33+B33+kiad5!B34+kiad5!F34+kiad5!J34</f>
        <v>71404</v>
      </c>
      <c r="K33" s="57">
        <f>G33+C33+kiad5!C34+kiad5!G34+kiad5!K34</f>
        <v>74606</v>
      </c>
      <c r="L33" s="57">
        <f>H33+D33+kiad5!D34+kiad5!H34+kiad5!L34</f>
        <v>35977</v>
      </c>
      <c r="M33" s="12">
        <f t="shared" si="1"/>
        <v>48.22266305659062</v>
      </c>
    </row>
    <row r="34" spans="1:13" s="28" customFormat="1" ht="31.5">
      <c r="A34" s="39" t="s">
        <v>78</v>
      </c>
      <c r="B34" s="42">
        <f>SUM(B33,B28)</f>
        <v>1230</v>
      </c>
      <c r="C34" s="42">
        <f>SUM(C33,C28)</f>
        <v>1230</v>
      </c>
      <c r="D34" s="42">
        <f>SUM(D33,D28)</f>
        <v>1228</v>
      </c>
      <c r="E34" s="43"/>
      <c r="F34" s="42">
        <f>SUM(F33,F28)</f>
        <v>1267</v>
      </c>
      <c r="G34" s="42">
        <f>SUM(G33,G28)</f>
        <v>1267</v>
      </c>
      <c r="H34" s="42">
        <f>SUM(H33,H28)</f>
        <v>0</v>
      </c>
      <c r="I34" s="44"/>
      <c r="J34" s="40">
        <f>kiad5!B36+kiad5!F36+kiad5!J36+kiad6!B34+kiad6!F34</f>
        <v>163509</v>
      </c>
      <c r="K34" s="40">
        <f>kiad5!C36+kiad5!G36+kiad5!K36+kiad6!C34+kiad6!G34</f>
        <v>170661</v>
      </c>
      <c r="L34" s="40">
        <f>kiad5!D36+kiad5!H36+kiad5!L36+kiad6!D34+kiad6!H34</f>
        <v>87796</v>
      </c>
      <c r="M34" s="43">
        <f>L34/K34*100</f>
        <v>51.44467687403683</v>
      </c>
    </row>
    <row r="35" spans="1:13" s="28" customFormat="1" ht="15.75">
      <c r="A35" s="70"/>
      <c r="B35" s="74"/>
      <c r="C35" s="74"/>
      <c r="D35" s="74"/>
      <c r="E35" s="75"/>
      <c r="F35" s="74"/>
      <c r="G35" s="74"/>
      <c r="H35" s="74"/>
      <c r="I35" s="76"/>
      <c r="J35" s="77"/>
      <c r="K35" s="77"/>
      <c r="L35" s="77"/>
      <c r="M35" s="75"/>
    </row>
    <row r="36" spans="1:13" s="28" customFormat="1" ht="15.75">
      <c r="A36" s="70"/>
      <c r="B36" s="74"/>
      <c r="C36" s="74"/>
      <c r="D36" s="74"/>
      <c r="E36" s="75"/>
      <c r="F36" s="74"/>
      <c r="G36" s="74"/>
      <c r="H36" s="74"/>
      <c r="I36" s="76"/>
      <c r="J36" s="77"/>
      <c r="K36" s="77"/>
      <c r="L36" s="77"/>
      <c r="M36" s="75"/>
    </row>
    <row r="37" spans="1:13" ht="15.75">
      <c r="A37" s="174">
        <v>6</v>
      </c>
      <c r="B37" s="174"/>
      <c r="C37" s="174"/>
      <c r="D37" s="174"/>
      <c r="E37" s="174"/>
      <c r="F37" s="174"/>
      <c r="G37" s="174"/>
      <c r="H37" s="174"/>
      <c r="I37" s="174"/>
      <c r="J37" s="174"/>
      <c r="K37" s="174"/>
      <c r="L37" s="174"/>
      <c r="M37" s="174"/>
    </row>
  </sheetData>
  <mergeCells count="16">
    <mergeCell ref="I8:I9"/>
    <mergeCell ref="A2:M2"/>
    <mergeCell ref="A3:M3"/>
    <mergeCell ref="B7:E7"/>
    <mergeCell ref="F7:I7"/>
    <mergeCell ref="J7:M7"/>
    <mergeCell ref="A37:M37"/>
    <mergeCell ref="J8:J9"/>
    <mergeCell ref="K8:K9"/>
    <mergeCell ref="A8:A9"/>
    <mergeCell ref="D8:D9"/>
    <mergeCell ref="E8:E9"/>
    <mergeCell ref="G8:G9"/>
    <mergeCell ref="L8:L9"/>
    <mergeCell ref="M8:M9"/>
    <mergeCell ref="H8:H9"/>
  </mergeCells>
  <printOptions horizontalCentered="1" vertic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8"/>
  <sheetViews>
    <sheetView zoomScale="90" zoomScaleNormal="90" workbookViewId="0" topLeftCell="C1">
      <selection activeCell="M1" sqref="M1"/>
    </sheetView>
  </sheetViews>
  <sheetFormatPr defaultColWidth="9.140625" defaultRowHeight="12.75"/>
  <cols>
    <col min="1" max="1" width="44.7109375" style="0" customWidth="1"/>
    <col min="2" max="2" width="11.421875" style="0" customWidth="1"/>
    <col min="3" max="3" width="12.28125" style="0" customWidth="1"/>
    <col min="4" max="4" width="10.28125" style="0" customWidth="1"/>
    <col min="5" max="5" width="9.421875" style="0" customWidth="1"/>
    <col min="6" max="6" width="11.57421875" style="0" customWidth="1"/>
    <col min="7" max="7" width="12.00390625" style="0" customWidth="1"/>
    <col min="8" max="8" width="10.140625" style="0" customWidth="1"/>
    <col min="9" max="10" width="10.8515625" style="0" customWidth="1"/>
    <col min="11" max="11" width="11.421875" style="0" customWidth="1"/>
    <col min="12" max="12" width="9.8515625" style="0" customWidth="1"/>
    <col min="13" max="13" width="10.57421875" style="0" customWidth="1"/>
  </cols>
  <sheetData>
    <row r="1" spans="1:13" ht="15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95" t="s">
        <v>0</v>
      </c>
    </row>
    <row r="2" spans="1:13" ht="18.75">
      <c r="A2" s="167" t="s">
        <v>1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</row>
    <row r="3" spans="1:12" s="3" customFormat="1" ht="18.75">
      <c r="A3" s="139" t="s">
        <v>123</v>
      </c>
      <c r="B3" s="139"/>
      <c r="C3" s="139"/>
      <c r="D3" s="139"/>
      <c r="E3" s="139"/>
      <c r="F3" s="139"/>
      <c r="G3" s="139"/>
      <c r="H3" s="139"/>
      <c r="I3" s="139"/>
      <c r="J3" s="95"/>
      <c r="K3" s="140"/>
      <c r="L3" s="95"/>
    </row>
    <row r="4" spans="1:13" ht="15.7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15.7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5" t="s">
        <v>2</v>
      </c>
    </row>
    <row r="6" spans="1:13" ht="15.75">
      <c r="A6" s="49"/>
      <c r="B6" s="165" t="s">
        <v>3</v>
      </c>
      <c r="C6" s="166"/>
      <c r="D6" s="166"/>
      <c r="E6" s="165"/>
      <c r="F6" s="165" t="s">
        <v>4</v>
      </c>
      <c r="G6" s="165"/>
      <c r="H6" s="166"/>
      <c r="I6" s="165"/>
      <c r="J6" s="165" t="s">
        <v>65</v>
      </c>
      <c r="K6" s="165"/>
      <c r="L6" s="166"/>
      <c r="M6" s="165"/>
    </row>
    <row r="7" spans="1:13" ht="15.75">
      <c r="A7" s="168" t="s">
        <v>5</v>
      </c>
      <c r="B7" s="113" t="s">
        <v>6</v>
      </c>
      <c r="C7" s="169" t="s">
        <v>8</v>
      </c>
      <c r="D7" s="168" t="s">
        <v>9</v>
      </c>
      <c r="E7" s="118" t="s">
        <v>9</v>
      </c>
      <c r="F7" s="113" t="s">
        <v>6</v>
      </c>
      <c r="G7" s="128" t="s">
        <v>11</v>
      </c>
      <c r="H7" s="170" t="s">
        <v>9</v>
      </c>
      <c r="I7" s="118" t="s">
        <v>9</v>
      </c>
      <c r="J7" s="118" t="s">
        <v>6</v>
      </c>
      <c r="K7" s="113" t="s">
        <v>11</v>
      </c>
      <c r="L7" s="170" t="s">
        <v>9</v>
      </c>
      <c r="M7" s="113" t="s">
        <v>9</v>
      </c>
    </row>
    <row r="8" spans="1:13" ht="15.75">
      <c r="A8" s="168"/>
      <c r="B8" s="117" t="s">
        <v>7</v>
      </c>
      <c r="C8" s="169"/>
      <c r="D8" s="168"/>
      <c r="E8" s="119" t="s">
        <v>10</v>
      </c>
      <c r="F8" s="117" t="s">
        <v>7</v>
      </c>
      <c r="G8" s="129" t="s">
        <v>7</v>
      </c>
      <c r="H8" s="170"/>
      <c r="I8" s="119" t="s">
        <v>12</v>
      </c>
      <c r="J8" s="119" t="s">
        <v>7</v>
      </c>
      <c r="K8" s="117" t="s">
        <v>7</v>
      </c>
      <c r="L8" s="170"/>
      <c r="M8" s="117" t="s">
        <v>12</v>
      </c>
    </row>
    <row r="9" spans="1:13" ht="15.75">
      <c r="A9" s="61" t="s">
        <v>105</v>
      </c>
      <c r="B9" s="117"/>
      <c r="C9" s="49"/>
      <c r="D9" s="49"/>
      <c r="E9" s="117"/>
      <c r="F9" s="117"/>
      <c r="G9" s="117"/>
      <c r="H9" s="49"/>
      <c r="I9" s="117"/>
      <c r="J9" s="117"/>
      <c r="K9" s="117"/>
      <c r="L9" s="49"/>
      <c r="M9" s="117"/>
    </row>
    <row r="10" spans="1:13" ht="15.75">
      <c r="A10" s="62" t="s">
        <v>72</v>
      </c>
      <c r="B10" s="78">
        <v>4480</v>
      </c>
      <c r="C10" s="78">
        <f>+B10+195+139</f>
        <v>4814</v>
      </c>
      <c r="D10" s="78">
        <v>2645</v>
      </c>
      <c r="E10" s="106">
        <f>D10/C10*100</f>
        <v>54.943913585375995</v>
      </c>
      <c r="F10" s="78">
        <v>1375</v>
      </c>
      <c r="G10" s="78">
        <f>+F10+62+44</f>
        <v>1481</v>
      </c>
      <c r="H10" s="78">
        <v>843</v>
      </c>
      <c r="I10" s="106">
        <f>H10/G10*100</f>
        <v>56.92099932478055</v>
      </c>
      <c r="J10" s="78">
        <v>5067</v>
      </c>
      <c r="K10" s="78">
        <f>+J10</f>
        <v>5067</v>
      </c>
      <c r="L10" s="78">
        <v>1565</v>
      </c>
      <c r="M10" s="64">
        <f>L10/K10*100</f>
        <v>30.886125912768897</v>
      </c>
    </row>
    <row r="11" spans="1:13" ht="15.75">
      <c r="A11" s="62" t="s">
        <v>39</v>
      </c>
      <c r="B11" s="78">
        <v>3609</v>
      </c>
      <c r="C11" s="78">
        <f>+B11+584+155</f>
        <v>4348</v>
      </c>
      <c r="D11" s="78">
        <v>1754</v>
      </c>
      <c r="E11" s="106">
        <f aca="true" t="shared" si="0" ref="E11:E33">D11/C11*100</f>
        <v>40.340386384544615</v>
      </c>
      <c r="F11" s="78">
        <v>1192</v>
      </c>
      <c r="G11" s="78">
        <f>+F11+187+50</f>
        <v>1429</v>
      </c>
      <c r="H11" s="78">
        <v>584</v>
      </c>
      <c r="I11" s="106">
        <f aca="true" t="shared" si="1" ref="I11:I33">H11/G11*100</f>
        <v>40.86773967809657</v>
      </c>
      <c r="J11" s="78">
        <v>1344</v>
      </c>
      <c r="K11" s="78">
        <f>+J11+65</f>
        <v>1409</v>
      </c>
      <c r="L11" s="78">
        <v>829</v>
      </c>
      <c r="M11" s="64">
        <f aca="true" t="shared" si="2" ref="M11:M33">L11/K11*100</f>
        <v>58.83605393896381</v>
      </c>
    </row>
    <row r="12" spans="1:13" ht="19.5" customHeight="1">
      <c r="A12" s="62" t="s">
        <v>106</v>
      </c>
      <c r="B12" s="78">
        <v>205</v>
      </c>
      <c r="C12" s="78">
        <f>+B12-118</f>
        <v>87</v>
      </c>
      <c r="D12" s="78">
        <v>86</v>
      </c>
      <c r="E12" s="155">
        <f t="shared" si="0"/>
        <v>98.85057471264368</v>
      </c>
      <c r="F12" s="78">
        <v>93</v>
      </c>
      <c r="G12" s="78">
        <f>+F12-90</f>
        <v>3</v>
      </c>
      <c r="H12" s="78">
        <v>3</v>
      </c>
      <c r="I12" s="155">
        <f t="shared" si="1"/>
        <v>100</v>
      </c>
      <c r="J12" s="78">
        <v>1781</v>
      </c>
      <c r="K12" s="78">
        <f>+J12-1581</f>
        <v>200</v>
      </c>
      <c r="L12" s="78">
        <v>199</v>
      </c>
      <c r="M12" s="64">
        <f t="shared" si="2"/>
        <v>99.5</v>
      </c>
    </row>
    <row r="13" spans="1:13" ht="15.75">
      <c r="A13" s="62" t="s">
        <v>107</v>
      </c>
      <c r="B13" s="78">
        <v>880</v>
      </c>
      <c r="C13" s="78">
        <f>+B13-637</f>
        <v>243</v>
      </c>
      <c r="D13" s="78">
        <v>245</v>
      </c>
      <c r="E13" s="155">
        <f t="shared" si="0"/>
        <v>100.8230452674897</v>
      </c>
      <c r="F13" s="78">
        <v>157</v>
      </c>
      <c r="G13" s="78">
        <f>+F13-99</f>
        <v>58</v>
      </c>
      <c r="H13" s="14">
        <v>60</v>
      </c>
      <c r="I13" s="155">
        <f t="shared" si="1"/>
        <v>103.44827586206897</v>
      </c>
      <c r="J13" s="78">
        <v>1392</v>
      </c>
      <c r="K13" s="78">
        <f>+J13-1113</f>
        <v>279</v>
      </c>
      <c r="L13" s="78">
        <v>278</v>
      </c>
      <c r="M13" s="64">
        <f t="shared" si="2"/>
        <v>99.6415770609319</v>
      </c>
    </row>
    <row r="14" spans="1:13" ht="15.75">
      <c r="A14" s="61" t="s">
        <v>73</v>
      </c>
      <c r="B14" s="79">
        <f>B10+B11+B12+B13</f>
        <v>9174</v>
      </c>
      <c r="C14" s="79">
        <f>C10+C11+C12+C13</f>
        <v>9492</v>
      </c>
      <c r="D14" s="79">
        <f>D10+D11+D12+D13</f>
        <v>4730</v>
      </c>
      <c r="E14" s="107">
        <f t="shared" si="0"/>
        <v>49.83143699957859</v>
      </c>
      <c r="F14" s="79">
        <f>F10+F11+F12+F13</f>
        <v>2817</v>
      </c>
      <c r="G14" s="79">
        <f>G10+G11+G12+G13</f>
        <v>2971</v>
      </c>
      <c r="H14" s="79">
        <f>H10+H11+H12+H13</f>
        <v>1490</v>
      </c>
      <c r="I14" s="107">
        <f t="shared" si="1"/>
        <v>50.15146415348367</v>
      </c>
      <c r="J14" s="79">
        <f>SUM(J10:J13)</f>
        <v>9584</v>
      </c>
      <c r="K14" s="156">
        <f>SUM(K10:K13)</f>
        <v>6955</v>
      </c>
      <c r="L14" s="79">
        <f>SUM(L10:L13)</f>
        <v>2871</v>
      </c>
      <c r="M14" s="66">
        <f t="shared" si="2"/>
        <v>41.27965492451474</v>
      </c>
    </row>
    <row r="15" spans="1:13" ht="15.75">
      <c r="A15" s="39" t="s">
        <v>118</v>
      </c>
      <c r="B15" s="80"/>
      <c r="C15" s="80"/>
      <c r="D15" s="80"/>
      <c r="E15" s="106"/>
      <c r="F15" s="80"/>
      <c r="G15" s="80"/>
      <c r="H15" s="80"/>
      <c r="I15" s="106"/>
      <c r="J15" s="80"/>
      <c r="K15" s="80"/>
      <c r="L15" s="80"/>
      <c r="M15" s="64"/>
    </row>
    <row r="16" spans="1:13" ht="15.75">
      <c r="A16" s="38" t="s">
        <v>40</v>
      </c>
      <c r="B16" s="81">
        <v>30833</v>
      </c>
      <c r="C16" s="81">
        <f>+B16+1093+1185</f>
        <v>33111</v>
      </c>
      <c r="D16" s="81">
        <v>16059</v>
      </c>
      <c r="E16" s="106">
        <f t="shared" si="0"/>
        <v>48.500498323819876</v>
      </c>
      <c r="F16" s="81">
        <v>9853</v>
      </c>
      <c r="G16" s="81">
        <f>+F16+350+379</f>
        <v>10582</v>
      </c>
      <c r="H16" s="81">
        <v>5185</v>
      </c>
      <c r="I16" s="106">
        <f t="shared" si="1"/>
        <v>48.998298998299</v>
      </c>
      <c r="J16" s="81">
        <v>3036</v>
      </c>
      <c r="K16" s="81">
        <f>+J16</f>
        <v>3036</v>
      </c>
      <c r="L16" s="81">
        <v>1750</v>
      </c>
      <c r="M16" s="64">
        <f t="shared" si="2"/>
        <v>57.64163372859025</v>
      </c>
    </row>
    <row r="17" spans="1:13" ht="17.25" customHeight="1">
      <c r="A17" s="39" t="s">
        <v>119</v>
      </c>
      <c r="B17" s="80">
        <f>SUM(B16:B16)</f>
        <v>30833</v>
      </c>
      <c r="C17" s="80">
        <f>SUM(C16:C16)</f>
        <v>33111</v>
      </c>
      <c r="D17" s="80">
        <f>SUM(D16:D16)</f>
        <v>16059</v>
      </c>
      <c r="E17" s="107">
        <f t="shared" si="0"/>
        <v>48.500498323819876</v>
      </c>
      <c r="F17" s="80">
        <f>SUM(F16:F16)</f>
        <v>9853</v>
      </c>
      <c r="G17" s="80">
        <f>SUM(G16:G16)</f>
        <v>10582</v>
      </c>
      <c r="H17" s="80">
        <f>SUM(H16:H16)</f>
        <v>5185</v>
      </c>
      <c r="I17" s="107">
        <f t="shared" si="1"/>
        <v>48.998298998299</v>
      </c>
      <c r="J17" s="80">
        <f>SUM(J16:J16)</f>
        <v>3036</v>
      </c>
      <c r="K17" s="80">
        <f>SUM(K16:K16)</f>
        <v>3036</v>
      </c>
      <c r="L17" s="80">
        <f>SUM(L16:L16)</f>
        <v>1750</v>
      </c>
      <c r="M17" s="66">
        <f t="shared" si="2"/>
        <v>57.64163372859025</v>
      </c>
    </row>
    <row r="18" spans="1:13" ht="15.75">
      <c r="A18" s="39" t="s">
        <v>74</v>
      </c>
      <c r="B18" s="81"/>
      <c r="C18" s="81"/>
      <c r="D18" s="81"/>
      <c r="E18" s="106"/>
      <c r="F18" s="81"/>
      <c r="G18" s="81"/>
      <c r="H18" s="81"/>
      <c r="I18" s="106"/>
      <c r="J18" s="81"/>
      <c r="K18" s="81"/>
      <c r="L18" s="81"/>
      <c r="M18" s="64"/>
    </row>
    <row r="19" spans="1:13" ht="15.75">
      <c r="A19" s="38" t="s">
        <v>57</v>
      </c>
      <c r="B19" s="81">
        <v>100049</v>
      </c>
      <c r="C19" s="81">
        <f>+B19+3288+2960</f>
        <v>106297</v>
      </c>
      <c r="D19" s="81">
        <v>47077</v>
      </c>
      <c r="E19" s="106">
        <f t="shared" si="0"/>
        <v>44.28817370198595</v>
      </c>
      <c r="F19" s="81">
        <v>32400</v>
      </c>
      <c r="G19" s="81">
        <f>+F19+1052+947</f>
        <v>34399</v>
      </c>
      <c r="H19" s="81">
        <v>15172</v>
      </c>
      <c r="I19" s="106">
        <f t="shared" si="1"/>
        <v>44.10593331201488</v>
      </c>
      <c r="J19" s="81">
        <v>17253</v>
      </c>
      <c r="K19" s="81">
        <f>+J19</f>
        <v>17253</v>
      </c>
      <c r="L19" s="81">
        <v>6574</v>
      </c>
      <c r="M19" s="64">
        <f t="shared" si="2"/>
        <v>38.103518228713845</v>
      </c>
    </row>
    <row r="20" spans="1:13" ht="15.75">
      <c r="A20" s="38" t="s">
        <v>130</v>
      </c>
      <c r="B20" s="81">
        <v>4897</v>
      </c>
      <c r="C20" s="81">
        <f>+B20+134+172</f>
        <v>5203</v>
      </c>
      <c r="D20" s="81">
        <v>3194</v>
      </c>
      <c r="E20" s="106">
        <f t="shared" si="0"/>
        <v>61.38766096482799</v>
      </c>
      <c r="F20" s="81">
        <v>1596</v>
      </c>
      <c r="G20" s="81">
        <f>+F20+43+55</f>
        <v>1694</v>
      </c>
      <c r="H20" s="81">
        <v>1036</v>
      </c>
      <c r="I20" s="106">
        <f t="shared" si="1"/>
        <v>61.15702479338842</v>
      </c>
      <c r="J20" s="81">
        <v>349</v>
      </c>
      <c r="K20" s="81">
        <f aca="true" t="shared" si="3" ref="K20:K28">+J20</f>
        <v>349</v>
      </c>
      <c r="L20" s="81">
        <v>141</v>
      </c>
      <c r="M20" s="64">
        <f t="shared" si="2"/>
        <v>40.40114613180516</v>
      </c>
    </row>
    <row r="21" spans="1:13" s="26" customFormat="1" ht="16.5" customHeight="1">
      <c r="A21" s="38" t="s">
        <v>77</v>
      </c>
      <c r="B21" s="82">
        <v>9786</v>
      </c>
      <c r="C21" s="81">
        <f>+B21+333+318</f>
        <v>10437</v>
      </c>
      <c r="D21" s="82">
        <v>7050</v>
      </c>
      <c r="E21" s="106">
        <f t="shared" si="0"/>
        <v>67.54814601897097</v>
      </c>
      <c r="F21" s="82">
        <v>3211</v>
      </c>
      <c r="G21" s="81">
        <f>+F21+107+101</f>
        <v>3419</v>
      </c>
      <c r="H21" s="82">
        <v>2302</v>
      </c>
      <c r="I21" s="106">
        <f t="shared" si="1"/>
        <v>67.32962854635859</v>
      </c>
      <c r="J21" s="82">
        <v>2088</v>
      </c>
      <c r="K21" s="81">
        <f t="shared" si="3"/>
        <v>2088</v>
      </c>
      <c r="L21" s="82">
        <v>1421</v>
      </c>
      <c r="M21" s="64">
        <f t="shared" si="2"/>
        <v>68.05555555555556</v>
      </c>
    </row>
    <row r="22" spans="1:13" ht="15.75">
      <c r="A22" s="38" t="s">
        <v>25</v>
      </c>
      <c r="B22" s="81"/>
      <c r="C22" s="81">
        <f aca="true" t="shared" si="4" ref="C22:C28">+B22</f>
        <v>0</v>
      </c>
      <c r="D22" s="81"/>
      <c r="E22" s="106"/>
      <c r="F22" s="81"/>
      <c r="G22" s="81">
        <f aca="true" t="shared" si="5" ref="G22:G28">+F22</f>
        <v>0</v>
      </c>
      <c r="H22" s="81"/>
      <c r="I22" s="106"/>
      <c r="J22" s="81">
        <v>35174</v>
      </c>
      <c r="K22" s="81">
        <f t="shared" si="3"/>
        <v>35174</v>
      </c>
      <c r="L22" s="81">
        <v>18653</v>
      </c>
      <c r="M22" s="64">
        <f t="shared" si="2"/>
        <v>53.03064763745948</v>
      </c>
    </row>
    <row r="23" spans="1:13" ht="15.75">
      <c r="A23" s="38" t="s">
        <v>58</v>
      </c>
      <c r="B23" s="81">
        <v>26661</v>
      </c>
      <c r="C23" s="81">
        <f>+B23+927+777</f>
        <v>28365</v>
      </c>
      <c r="D23" s="81">
        <v>15830</v>
      </c>
      <c r="E23" s="106">
        <f t="shared" si="0"/>
        <v>55.80821434866914</v>
      </c>
      <c r="F23" s="81">
        <v>8818</v>
      </c>
      <c r="G23" s="81">
        <f>+F23+297+248</f>
        <v>9363</v>
      </c>
      <c r="H23" s="81">
        <v>5193</v>
      </c>
      <c r="I23" s="106">
        <f t="shared" si="1"/>
        <v>55.46299263056712</v>
      </c>
      <c r="J23" s="81">
        <v>1592</v>
      </c>
      <c r="K23" s="81">
        <f t="shared" si="3"/>
        <v>1592</v>
      </c>
      <c r="L23" s="81">
        <v>1161</v>
      </c>
      <c r="M23" s="64">
        <f t="shared" si="2"/>
        <v>72.92713567839196</v>
      </c>
    </row>
    <row r="24" spans="1:13" ht="15.75">
      <c r="A24" s="38" t="s">
        <v>76</v>
      </c>
      <c r="B24" s="81">
        <v>1032</v>
      </c>
      <c r="C24" s="81">
        <f t="shared" si="4"/>
        <v>1032</v>
      </c>
      <c r="D24" s="81">
        <v>633</v>
      </c>
      <c r="E24" s="106">
        <f t="shared" si="0"/>
        <v>61.337209302325576</v>
      </c>
      <c r="F24" s="81">
        <v>330</v>
      </c>
      <c r="G24" s="81">
        <f t="shared" si="5"/>
        <v>330</v>
      </c>
      <c r="H24" s="81">
        <v>151</v>
      </c>
      <c r="I24" s="106">
        <f t="shared" si="1"/>
        <v>45.75757575757576</v>
      </c>
      <c r="J24" s="81">
        <v>592</v>
      </c>
      <c r="K24" s="81">
        <f t="shared" si="3"/>
        <v>592</v>
      </c>
      <c r="L24" s="81">
        <v>354</v>
      </c>
      <c r="M24" s="64">
        <f t="shared" si="2"/>
        <v>59.797297297297305</v>
      </c>
    </row>
    <row r="25" spans="1:13" ht="15.75">
      <c r="A25" s="67" t="s">
        <v>59</v>
      </c>
      <c r="B25" s="84">
        <v>600</v>
      </c>
      <c r="C25" s="81">
        <f t="shared" si="4"/>
        <v>600</v>
      </c>
      <c r="D25" s="84"/>
      <c r="E25" s="106">
        <f t="shared" si="0"/>
        <v>0</v>
      </c>
      <c r="F25" s="84">
        <v>192</v>
      </c>
      <c r="G25" s="81">
        <f t="shared" si="5"/>
        <v>192</v>
      </c>
      <c r="H25" s="84"/>
      <c r="I25" s="106">
        <f t="shared" si="1"/>
        <v>0</v>
      </c>
      <c r="J25" s="84"/>
      <c r="K25" s="81">
        <f t="shared" si="3"/>
        <v>0</v>
      </c>
      <c r="L25" s="84"/>
      <c r="M25" s="64"/>
    </row>
    <row r="26" spans="1:13" ht="15.75">
      <c r="A26" s="38" t="s">
        <v>45</v>
      </c>
      <c r="B26" s="81">
        <v>4575</v>
      </c>
      <c r="C26" s="81">
        <f>+B26+177+129</f>
        <v>4881</v>
      </c>
      <c r="D26" s="81">
        <v>2328</v>
      </c>
      <c r="E26" s="106">
        <f t="shared" si="0"/>
        <v>47.69514443761524</v>
      </c>
      <c r="F26" s="81">
        <v>1730</v>
      </c>
      <c r="G26" s="81">
        <f>+F26+57+41</f>
        <v>1828</v>
      </c>
      <c r="H26" s="81">
        <v>760</v>
      </c>
      <c r="I26" s="106">
        <f t="shared" si="1"/>
        <v>41.57549234135667</v>
      </c>
      <c r="J26" s="81">
        <v>498</v>
      </c>
      <c r="K26" s="81">
        <f t="shared" si="3"/>
        <v>498</v>
      </c>
      <c r="L26" s="81">
        <v>142</v>
      </c>
      <c r="M26" s="64">
        <f t="shared" si="2"/>
        <v>28.514056224899598</v>
      </c>
    </row>
    <row r="27" spans="1:13" ht="15.75">
      <c r="A27" s="38" t="s">
        <v>26</v>
      </c>
      <c r="B27" s="84"/>
      <c r="C27" s="81">
        <f t="shared" si="4"/>
        <v>0</v>
      </c>
      <c r="D27" s="83"/>
      <c r="E27" s="106"/>
      <c r="F27" s="84"/>
      <c r="G27" s="81">
        <f t="shared" si="5"/>
        <v>0</v>
      </c>
      <c r="H27" s="83"/>
      <c r="I27" s="106"/>
      <c r="J27" s="84">
        <v>1502</v>
      </c>
      <c r="K27" s="81">
        <f t="shared" si="3"/>
        <v>1502</v>
      </c>
      <c r="L27" s="84">
        <v>1104</v>
      </c>
      <c r="M27" s="64">
        <f t="shared" si="2"/>
        <v>73.50199733688414</v>
      </c>
    </row>
    <row r="28" spans="1:13" ht="15.75">
      <c r="A28" s="38" t="s">
        <v>108</v>
      </c>
      <c r="B28" s="84">
        <v>2490</v>
      </c>
      <c r="C28" s="81">
        <f t="shared" si="4"/>
        <v>2490</v>
      </c>
      <c r="D28" s="84">
        <v>2705</v>
      </c>
      <c r="E28" s="106">
        <f t="shared" si="0"/>
        <v>108.63453815261043</v>
      </c>
      <c r="F28" s="84">
        <v>626</v>
      </c>
      <c r="G28" s="81">
        <f t="shared" si="5"/>
        <v>626</v>
      </c>
      <c r="H28" s="84">
        <v>510</v>
      </c>
      <c r="I28" s="106">
        <f t="shared" si="1"/>
        <v>81.46964856230032</v>
      </c>
      <c r="J28" s="84">
        <v>3546</v>
      </c>
      <c r="K28" s="81">
        <f t="shared" si="3"/>
        <v>3546</v>
      </c>
      <c r="L28" s="84">
        <v>1372</v>
      </c>
      <c r="M28" s="64">
        <f t="shared" si="2"/>
        <v>38.691483361534125</v>
      </c>
    </row>
    <row r="29" spans="1:13" s="16" customFormat="1" ht="15.75">
      <c r="A29" s="39" t="s">
        <v>60</v>
      </c>
      <c r="B29" s="80">
        <f>SUM(B19:B28)</f>
        <v>150090</v>
      </c>
      <c r="C29" s="80">
        <f>SUM(C19:C28)</f>
        <v>159305</v>
      </c>
      <c r="D29" s="80">
        <f>SUM(D19:D28)</f>
        <v>78817</v>
      </c>
      <c r="E29" s="107">
        <f t="shared" si="0"/>
        <v>49.47553435234299</v>
      </c>
      <c r="F29" s="80">
        <f>SUM(F19:F28)</f>
        <v>48903</v>
      </c>
      <c r="G29" s="80">
        <f>SUM(G19:G28)</f>
        <v>51851</v>
      </c>
      <c r="H29" s="80">
        <f>SUM(H19:H28)</f>
        <v>25124</v>
      </c>
      <c r="I29" s="107">
        <f t="shared" si="1"/>
        <v>48.45422460511851</v>
      </c>
      <c r="J29" s="85">
        <f>SUM(J19:J28)</f>
        <v>62594</v>
      </c>
      <c r="K29" s="85">
        <f>SUM(K19:K28)</f>
        <v>62594</v>
      </c>
      <c r="L29" s="85">
        <f>SUM(L19:L28)</f>
        <v>30922</v>
      </c>
      <c r="M29" s="66">
        <f t="shared" si="2"/>
        <v>49.40090104482858</v>
      </c>
    </row>
    <row r="30" spans="1:13" s="16" customFormat="1" ht="15.75">
      <c r="A30" s="39" t="s">
        <v>75</v>
      </c>
      <c r="B30" s="80">
        <v>1300</v>
      </c>
      <c r="C30" s="80">
        <f>+B30</f>
        <v>1300</v>
      </c>
      <c r="D30" s="80">
        <v>780</v>
      </c>
      <c r="E30" s="107">
        <f t="shared" si="0"/>
        <v>60</v>
      </c>
      <c r="F30" s="80">
        <v>307</v>
      </c>
      <c r="G30" s="80">
        <f>+F30</f>
        <v>307</v>
      </c>
      <c r="H30" s="80">
        <v>184</v>
      </c>
      <c r="I30" s="107">
        <f t="shared" si="1"/>
        <v>59.934853420195445</v>
      </c>
      <c r="J30" s="80">
        <v>430</v>
      </c>
      <c r="K30" s="80">
        <f>+J30+4100</f>
        <v>4530</v>
      </c>
      <c r="L30" s="80">
        <v>92</v>
      </c>
      <c r="M30" s="66">
        <f t="shared" si="2"/>
        <v>2.0309050772626933</v>
      </c>
    </row>
    <row r="31" spans="1:13" s="16" customFormat="1" ht="15.75">
      <c r="A31" s="39" t="s">
        <v>134</v>
      </c>
      <c r="B31" s="80"/>
      <c r="C31" s="80"/>
      <c r="D31" s="80"/>
      <c r="E31" s="106"/>
      <c r="F31" s="80"/>
      <c r="G31" s="80"/>
      <c r="H31" s="80"/>
      <c r="I31" s="106"/>
      <c r="J31" s="80"/>
      <c r="K31" s="80"/>
      <c r="L31" s="80"/>
      <c r="M31" s="66"/>
    </row>
    <row r="32" spans="1:13" s="16" customFormat="1" ht="15.75">
      <c r="A32" s="39" t="s">
        <v>135</v>
      </c>
      <c r="B32" s="86"/>
      <c r="C32" s="86"/>
      <c r="D32" s="86"/>
      <c r="E32" s="106"/>
      <c r="F32" s="86"/>
      <c r="G32" s="86"/>
      <c r="H32" s="86"/>
      <c r="I32" s="106"/>
      <c r="J32" s="86"/>
      <c r="K32" s="86"/>
      <c r="L32" s="86"/>
      <c r="M32" s="66"/>
    </row>
    <row r="33" spans="1:13" s="16" customFormat="1" ht="20.25" customHeight="1">
      <c r="A33" s="39" t="s">
        <v>120</v>
      </c>
      <c r="B33" s="80">
        <f>B32+B30+B29+B17+B14+kiad5!B36+kiad5!B21+kiad3!B28+kiad3!B25+kiad1!B12+kiad3!B21</f>
        <v>459341</v>
      </c>
      <c r="C33" s="80">
        <f>+C30+C29+C17+C14+kiad5!C36+kiad5!C21+kiad3!C28+kiad3!C25+kiad1!C12+kiad3!C21</f>
        <v>485496</v>
      </c>
      <c r="D33" s="80">
        <f>+D30+D29+D17+D14+kiad5!D36+kiad5!D21+kiad3!D28+kiad3!D25+kiad1!D12+kiad3!D21</f>
        <v>234391</v>
      </c>
      <c r="E33" s="161">
        <f t="shared" si="0"/>
        <v>48.278667589434306</v>
      </c>
      <c r="F33" s="80">
        <f>F32+F30+F29+F17+F14+kiad5!F36+kiad5!F21+kiad3!F28+kiad3!F25+kiad1!F12+kiad3!F21</f>
        <v>150597</v>
      </c>
      <c r="G33" s="80">
        <f>G32+G30+G29+G17+G14+kiad5!G36+kiad5!G21+kiad3!G28+kiad3!G25+kiad1!G12+kiad3!G21</f>
        <v>159010</v>
      </c>
      <c r="H33" s="80">
        <f>H32+H30+H29+H17+H14+kiad5!H36+kiad5!H21+kiad3!H28+kiad3!H25+kiad1!H12+kiad3!H21</f>
        <v>76306</v>
      </c>
      <c r="I33" s="161">
        <f t="shared" si="1"/>
        <v>47.98817684422364</v>
      </c>
      <c r="J33" s="80">
        <f>J32+J30+J29+J17+J14+kiad5!J36+kiad5!J21+kiad3!J28+kiad3!J25+kiad1!J12+kiad3!J21</f>
        <v>255966</v>
      </c>
      <c r="K33" s="80">
        <f>K32+K30+K29+K17+K14+kiad5!K36+kiad5!K21+kiad3!K28+kiad3!K25+kiad1!K12+kiad3!K21</f>
        <v>300413</v>
      </c>
      <c r="L33" s="80">
        <f>L32+L30+L29+L17+L14+kiad5!L36+kiad5!L21+kiad3!L28+kiad3!L25+kiad1!L12+kiad3!L21</f>
        <v>160794</v>
      </c>
      <c r="M33" s="161">
        <f t="shared" si="2"/>
        <v>53.524314859876235</v>
      </c>
    </row>
    <row r="34" spans="1:13" s="16" customFormat="1" ht="15.75">
      <c r="A34" s="70"/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</row>
    <row r="35" spans="1:13" s="16" customFormat="1" ht="15.75">
      <c r="A35" s="70"/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</row>
    <row r="36" spans="2:13" ht="15.75">
      <c r="B36" s="60"/>
      <c r="C36" s="60"/>
      <c r="D36" s="60"/>
      <c r="E36" s="60"/>
      <c r="F36" s="92">
        <v>7</v>
      </c>
      <c r="G36" s="60"/>
      <c r="H36" s="60"/>
      <c r="I36" s="60"/>
      <c r="J36" s="6"/>
      <c r="K36" s="6"/>
      <c r="L36" s="6"/>
      <c r="M36" s="6"/>
    </row>
    <row r="38" spans="1:9" ht="15">
      <c r="A38" s="186"/>
      <c r="B38" s="186"/>
      <c r="C38" s="186"/>
      <c r="D38" s="186"/>
      <c r="E38" s="186"/>
      <c r="F38" s="186"/>
      <c r="G38" s="186"/>
      <c r="H38" s="186"/>
      <c r="I38" s="186"/>
    </row>
  </sheetData>
  <mergeCells count="10">
    <mergeCell ref="A2:M2"/>
    <mergeCell ref="A38:I38"/>
    <mergeCell ref="A7:A8"/>
    <mergeCell ref="C7:C8"/>
    <mergeCell ref="D7:D8"/>
    <mergeCell ref="H7:H8"/>
    <mergeCell ref="J6:M6"/>
    <mergeCell ref="L7:L8"/>
    <mergeCell ref="B6:E6"/>
    <mergeCell ref="F6:I6"/>
  </mergeCells>
  <printOptions horizontalCentered="1" verticalCentered="1"/>
  <pageMargins left="0.5905511811023623" right="0.5905511811023623" top="0.5905511811023623" bottom="0.5905511811023623" header="0.5118110236220472" footer="0.5118110236220472"/>
  <pageSetup horizontalDpi="600" verticalDpi="600" orientation="landscape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tabSelected="1" zoomScale="90" zoomScaleNormal="90" workbookViewId="0" topLeftCell="A1">
      <selection activeCell="M1" sqref="M1"/>
    </sheetView>
  </sheetViews>
  <sheetFormatPr defaultColWidth="9.140625" defaultRowHeight="12.75"/>
  <cols>
    <col min="1" max="1" width="46.57421875" style="4" customWidth="1"/>
    <col min="2" max="2" width="9.57421875" style="4" customWidth="1"/>
    <col min="3" max="3" width="9.421875" style="4" bestFit="1" customWidth="1"/>
    <col min="4" max="4" width="10.8515625" style="4" customWidth="1"/>
    <col min="5" max="5" width="10.7109375" style="4" customWidth="1"/>
    <col min="6" max="6" width="10.8515625" style="4" bestFit="1" customWidth="1"/>
    <col min="7" max="7" width="9.421875" style="4" bestFit="1" customWidth="1"/>
    <col min="8" max="8" width="10.421875" style="4" customWidth="1"/>
    <col min="9" max="9" width="10.140625" style="4" customWidth="1"/>
    <col min="10" max="10" width="10.421875" style="4" bestFit="1" customWidth="1"/>
    <col min="11" max="11" width="11.28125" style="4" bestFit="1" customWidth="1"/>
    <col min="12" max="12" width="10.8515625" style="4" bestFit="1" customWidth="1"/>
    <col min="13" max="13" width="10.421875" style="4" customWidth="1"/>
    <col min="14" max="16384" width="9.140625" style="4" customWidth="1"/>
  </cols>
  <sheetData>
    <row r="1" ht="15.75">
      <c r="M1" s="92" t="s">
        <v>0</v>
      </c>
    </row>
    <row r="2" spans="1:13" ht="18.75">
      <c r="A2" s="177" t="s">
        <v>1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</row>
    <row r="3" spans="1:13" ht="18.75">
      <c r="A3" s="177" t="s">
        <v>121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</row>
    <row r="4" spans="1:12" ht="15.75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</row>
    <row r="5" spans="1:13" ht="15.75">
      <c r="A5" s="88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</row>
    <row r="6" spans="1:13" ht="15.75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 t="s">
        <v>24</v>
      </c>
      <c r="M6" s="60"/>
    </row>
    <row r="7" spans="1:13" ht="15.75" customHeight="1">
      <c r="A7" s="35"/>
      <c r="B7" s="172" t="s">
        <v>79</v>
      </c>
      <c r="C7" s="172"/>
      <c r="D7" s="173"/>
      <c r="E7" s="173"/>
      <c r="F7" s="172" t="s">
        <v>80</v>
      </c>
      <c r="G7" s="173"/>
      <c r="H7" s="173"/>
      <c r="I7" s="173"/>
      <c r="J7" s="173" t="s">
        <v>16</v>
      </c>
      <c r="K7" s="173"/>
      <c r="L7" s="173"/>
      <c r="M7" s="173"/>
    </row>
    <row r="8" spans="1:13" ht="15.75">
      <c r="A8" s="175" t="s">
        <v>5</v>
      </c>
      <c r="B8" s="124" t="s">
        <v>6</v>
      </c>
      <c r="C8" s="110" t="s">
        <v>17</v>
      </c>
      <c r="D8" s="169" t="s">
        <v>9</v>
      </c>
      <c r="E8" s="168" t="s">
        <v>18</v>
      </c>
      <c r="F8" s="110" t="s">
        <v>6</v>
      </c>
      <c r="G8" s="176" t="s">
        <v>19</v>
      </c>
      <c r="H8" s="166" t="s">
        <v>9</v>
      </c>
      <c r="I8" s="166" t="s">
        <v>20</v>
      </c>
      <c r="J8" s="173" t="s">
        <v>21</v>
      </c>
      <c r="K8" s="173" t="s">
        <v>19</v>
      </c>
      <c r="L8" s="166" t="s">
        <v>9</v>
      </c>
      <c r="M8" s="166" t="s">
        <v>20</v>
      </c>
    </row>
    <row r="9" spans="1:13" ht="15.75">
      <c r="A9" s="175"/>
      <c r="B9" s="125" t="s">
        <v>22</v>
      </c>
      <c r="C9" s="112" t="s">
        <v>22</v>
      </c>
      <c r="D9" s="169"/>
      <c r="E9" s="168"/>
      <c r="F9" s="112" t="s">
        <v>22</v>
      </c>
      <c r="G9" s="176"/>
      <c r="H9" s="166"/>
      <c r="I9" s="166"/>
      <c r="J9" s="173"/>
      <c r="K9" s="173"/>
      <c r="L9" s="166"/>
      <c r="M9" s="166"/>
    </row>
    <row r="10" spans="1:13" ht="15.75">
      <c r="A10" s="61" t="s">
        <v>71</v>
      </c>
      <c r="B10" s="117"/>
      <c r="C10" s="117"/>
      <c r="D10" s="49"/>
      <c r="E10" s="49"/>
      <c r="F10" s="117"/>
      <c r="G10" s="49"/>
      <c r="H10" s="49"/>
      <c r="I10" s="49"/>
      <c r="J10" s="49"/>
      <c r="K10" s="49"/>
      <c r="L10" s="49"/>
      <c r="M10" s="49"/>
    </row>
    <row r="11" spans="1:13" ht="15.75">
      <c r="A11" s="62" t="s">
        <v>72</v>
      </c>
      <c r="B11" s="63"/>
      <c r="C11" s="63"/>
      <c r="D11" s="63"/>
      <c r="E11" s="64"/>
      <c r="F11" s="63"/>
      <c r="G11" s="63"/>
      <c r="H11" s="63"/>
      <c r="I11" s="64"/>
      <c r="J11" s="78">
        <f>F11+B11+kiad7!B10+kiad7!F10+kiad7!J10</f>
        <v>10922</v>
      </c>
      <c r="K11" s="78">
        <f>G11+C11+kiad7!C10+kiad7!G10+kiad7!K10</f>
        <v>11362</v>
      </c>
      <c r="L11" s="78">
        <f>H11+D11+kiad7!D10+kiad7!H10+kiad7!L10</f>
        <v>5053</v>
      </c>
      <c r="M11" s="106">
        <f>L11/K11*100</f>
        <v>44.47280408378806</v>
      </c>
    </row>
    <row r="12" spans="1:13" ht="15.75">
      <c r="A12" s="62" t="s">
        <v>39</v>
      </c>
      <c r="B12" s="63"/>
      <c r="C12" s="63"/>
      <c r="D12" s="63"/>
      <c r="E12" s="64"/>
      <c r="F12" s="63"/>
      <c r="G12" s="63"/>
      <c r="H12" s="63"/>
      <c r="I12" s="64"/>
      <c r="J12" s="78">
        <f>F12+B12+kiad7!B11+kiad7!F11+kiad7!J11</f>
        <v>6145</v>
      </c>
      <c r="K12" s="78">
        <f>G12+C12+kiad7!C11+kiad7!G11+kiad7!K11</f>
        <v>7186</v>
      </c>
      <c r="L12" s="78">
        <f>H12+D12+kiad7!D11+kiad7!H11+kiad7!L11</f>
        <v>3167</v>
      </c>
      <c r="M12" s="106">
        <f aca="true" t="shared" si="0" ref="M12:M34">L12/K12*100</f>
        <v>44.07180629000835</v>
      </c>
    </row>
    <row r="13" spans="1:13" ht="15.75">
      <c r="A13" s="62" t="s">
        <v>106</v>
      </c>
      <c r="B13" s="63"/>
      <c r="C13" s="63"/>
      <c r="D13" s="63"/>
      <c r="E13" s="64"/>
      <c r="F13" s="63"/>
      <c r="G13" s="63"/>
      <c r="H13" s="63"/>
      <c r="I13" s="64"/>
      <c r="J13" s="78">
        <f>F13+B13+kiad7!B12+kiad7!F12+kiad7!J12</f>
        <v>2079</v>
      </c>
      <c r="K13" s="78">
        <f>G13+C13+kiad7!C12+kiad7!G12+kiad7!K12</f>
        <v>290</v>
      </c>
      <c r="L13" s="78">
        <f>H13+D13+kiad7!D12+kiad7!H12+kiad7!L12</f>
        <v>288</v>
      </c>
      <c r="M13" s="106">
        <f t="shared" si="0"/>
        <v>99.3103448275862</v>
      </c>
    </row>
    <row r="14" spans="1:13" ht="15.75">
      <c r="A14" s="62" t="s">
        <v>107</v>
      </c>
      <c r="B14" s="63"/>
      <c r="C14" s="63"/>
      <c r="D14" s="63"/>
      <c r="E14" s="64"/>
      <c r="F14" s="63"/>
      <c r="G14" s="63"/>
      <c r="H14" s="63"/>
      <c r="I14" s="64"/>
      <c r="J14" s="78">
        <f>F14+B14+kiad7!B13+kiad7!F13+kiad7!J13</f>
        <v>2429</v>
      </c>
      <c r="K14" s="78">
        <f>G14+C14+kiad7!C13+kiad7!G13+kiad7!K13</f>
        <v>580</v>
      </c>
      <c r="L14" s="78">
        <f>H14+D14+kiad7!D13+kiad7!H13+kiad7!L13</f>
        <v>583</v>
      </c>
      <c r="M14" s="106">
        <f t="shared" si="0"/>
        <v>100.51724137931035</v>
      </c>
    </row>
    <row r="15" spans="1:13" ht="15.75">
      <c r="A15" s="61" t="s">
        <v>92</v>
      </c>
      <c r="B15" s="65"/>
      <c r="C15" s="65"/>
      <c r="D15" s="65"/>
      <c r="E15" s="66"/>
      <c r="F15" s="65"/>
      <c r="G15" s="65"/>
      <c r="H15" s="150"/>
      <c r="I15" s="66"/>
      <c r="J15" s="79">
        <f>F15+B15+kiad7!B14+kiad7!F14+kiad7!J14</f>
        <v>21575</v>
      </c>
      <c r="K15" s="79">
        <f>G15+C15+kiad7!C14+kiad7!G14+kiad7!K14</f>
        <v>19418</v>
      </c>
      <c r="L15" s="79">
        <f>H15+D15+kiad7!D14+kiad7!H14+kiad7!L14</f>
        <v>9091</v>
      </c>
      <c r="M15" s="107">
        <f t="shared" si="0"/>
        <v>46.817385930579874</v>
      </c>
    </row>
    <row r="16" spans="1:13" ht="15.75">
      <c r="A16" s="39" t="s">
        <v>118</v>
      </c>
      <c r="B16" s="39"/>
      <c r="C16" s="39"/>
      <c r="D16" s="39"/>
      <c r="E16" s="39"/>
      <c r="F16" s="39"/>
      <c r="G16" s="39"/>
      <c r="H16" s="151"/>
      <c r="I16" s="39"/>
      <c r="J16" s="79"/>
      <c r="K16" s="79"/>
      <c r="L16" s="79"/>
      <c r="M16" s="106"/>
    </row>
    <row r="17" spans="1:13" ht="15.75">
      <c r="A17" s="38" t="s">
        <v>40</v>
      </c>
      <c r="B17" s="17"/>
      <c r="C17" s="17"/>
      <c r="D17" s="17"/>
      <c r="E17" s="30"/>
      <c r="F17" s="17">
        <v>800</v>
      </c>
      <c r="G17" s="17">
        <f>+F17</f>
        <v>800</v>
      </c>
      <c r="H17" s="146">
        <v>441</v>
      </c>
      <c r="I17" s="30">
        <f>H17/G17*100</f>
        <v>55.125</v>
      </c>
      <c r="J17" s="78">
        <f>F17+B17+kiad7!B16+kiad7!F16+kiad7!J16</f>
        <v>44522</v>
      </c>
      <c r="K17" s="78">
        <f>G17+C17+kiad7!C16+kiad7!G16+kiad7!K16</f>
        <v>47529</v>
      </c>
      <c r="L17" s="78">
        <f>H17+D17+kiad7!D16+kiad7!H16+kiad7!L16</f>
        <v>23435</v>
      </c>
      <c r="M17" s="106">
        <f t="shared" si="0"/>
        <v>49.306739043531316</v>
      </c>
    </row>
    <row r="18" spans="1:16" ht="15.75">
      <c r="A18" s="39" t="s">
        <v>119</v>
      </c>
      <c r="B18" s="54"/>
      <c r="C18" s="54"/>
      <c r="D18" s="54"/>
      <c r="E18" s="55"/>
      <c r="F18" s="54">
        <f>SUM(F17:F17)</f>
        <v>800</v>
      </c>
      <c r="G18" s="54">
        <f>SUM(G17:G17)</f>
        <v>800</v>
      </c>
      <c r="H18" s="152">
        <f>SUM(H17:H17)</f>
        <v>441</v>
      </c>
      <c r="I18" s="55">
        <f>H18/G18*100</f>
        <v>55.125</v>
      </c>
      <c r="J18" s="79">
        <f>F18+B18+kiad7!B17+kiad7!F17+kiad7!J17</f>
        <v>44522</v>
      </c>
      <c r="K18" s="79">
        <f>G18+C18+kiad7!C17+kiad7!G17+kiad7!K17</f>
        <v>47529</v>
      </c>
      <c r="L18" s="79">
        <f>H18+D18+kiad7!D17+kiad7!H17+kiad7!L17</f>
        <v>23435</v>
      </c>
      <c r="M18" s="107">
        <f t="shared" si="0"/>
        <v>49.306739043531316</v>
      </c>
      <c r="N18" s="45"/>
      <c r="O18" s="45"/>
      <c r="P18" s="45"/>
    </row>
    <row r="19" spans="1:13" ht="15.75">
      <c r="A19" s="39" t="s">
        <v>74</v>
      </c>
      <c r="B19" s="17"/>
      <c r="C19" s="17"/>
      <c r="D19" s="17"/>
      <c r="E19" s="18"/>
      <c r="F19" s="17"/>
      <c r="G19" s="17"/>
      <c r="H19" s="146"/>
      <c r="I19" s="30"/>
      <c r="J19" s="79"/>
      <c r="K19" s="79"/>
      <c r="L19" s="79"/>
      <c r="M19" s="106"/>
    </row>
    <row r="20" spans="1:18" ht="15.75">
      <c r="A20" s="38" t="s">
        <v>57</v>
      </c>
      <c r="B20" s="17"/>
      <c r="C20" s="17"/>
      <c r="D20" s="17"/>
      <c r="E20" s="18"/>
      <c r="F20" s="17">
        <v>3811</v>
      </c>
      <c r="G20" s="17">
        <f>+F20</f>
        <v>3811</v>
      </c>
      <c r="H20" s="146">
        <v>585</v>
      </c>
      <c r="I20" s="30">
        <f>H20/G20*100</f>
        <v>15.350301758068749</v>
      </c>
      <c r="J20" s="78">
        <f>F20+B20+kiad7!B19+kiad7!F19+kiad7!J19</f>
        <v>153513</v>
      </c>
      <c r="K20" s="78">
        <f>G20+C20+kiad7!C19+kiad7!G19+kiad7!K19</f>
        <v>161760</v>
      </c>
      <c r="L20" s="78">
        <f>H20+D20+kiad7!D19+kiad7!H19+kiad7!L19</f>
        <v>69408</v>
      </c>
      <c r="M20" s="106">
        <f t="shared" si="0"/>
        <v>42.9080118694362</v>
      </c>
      <c r="N20" s="20"/>
      <c r="O20" s="20"/>
      <c r="P20" s="20"/>
      <c r="Q20" s="20"/>
      <c r="R20" s="20"/>
    </row>
    <row r="21" spans="1:18" ht="15.75">
      <c r="A21" s="38" t="s">
        <v>130</v>
      </c>
      <c r="B21" s="17"/>
      <c r="C21" s="17"/>
      <c r="D21" s="17"/>
      <c r="E21" s="18"/>
      <c r="F21" s="7"/>
      <c r="G21" s="7"/>
      <c r="H21" s="89"/>
      <c r="I21" s="30"/>
      <c r="J21" s="78">
        <f>F21+B21+kiad7!B20+kiad7!F20+kiad7!J20</f>
        <v>6842</v>
      </c>
      <c r="K21" s="78">
        <f>G21+C21+kiad7!C20+kiad7!G20+kiad7!K20</f>
        <v>7246</v>
      </c>
      <c r="L21" s="78">
        <f>H21+D21+kiad7!D20+kiad7!H20+kiad7!L20</f>
        <v>4371</v>
      </c>
      <c r="M21" s="106">
        <f t="shared" si="0"/>
        <v>60.32293679271322</v>
      </c>
      <c r="N21" s="20"/>
      <c r="O21" s="20"/>
      <c r="P21" s="20"/>
      <c r="Q21" s="20"/>
      <c r="R21" s="20"/>
    </row>
    <row r="22" spans="1:18" ht="15.75">
      <c r="A22" s="38" t="s">
        <v>77</v>
      </c>
      <c r="B22" s="9"/>
      <c r="C22" s="9"/>
      <c r="D22" s="9"/>
      <c r="E22" s="10"/>
      <c r="F22" s="9"/>
      <c r="G22" s="9"/>
      <c r="H22" s="148"/>
      <c r="I22" s="30"/>
      <c r="J22" s="78">
        <f>F22+B22+kiad7!B21+kiad7!F21+kiad7!J21</f>
        <v>15085</v>
      </c>
      <c r="K22" s="78">
        <f>G22+C22+kiad7!C21+kiad7!G21+kiad7!K21</f>
        <v>15944</v>
      </c>
      <c r="L22" s="78">
        <f>H22+D22+kiad7!D21+kiad7!H21+kiad7!L21</f>
        <v>10773</v>
      </c>
      <c r="M22" s="106">
        <f t="shared" si="0"/>
        <v>67.56773707977922</v>
      </c>
      <c r="N22" s="20"/>
      <c r="O22" s="20"/>
      <c r="P22" s="20"/>
      <c r="Q22" s="20"/>
      <c r="R22" s="20"/>
    </row>
    <row r="23" spans="1:18" ht="15.75">
      <c r="A23" s="38" t="s">
        <v>25</v>
      </c>
      <c r="B23" s="9"/>
      <c r="C23" s="9"/>
      <c r="D23" s="9"/>
      <c r="E23" s="10"/>
      <c r="F23" s="9"/>
      <c r="G23" s="9"/>
      <c r="H23" s="148"/>
      <c r="I23" s="30"/>
      <c r="J23" s="78">
        <f>F23+B23+kiad7!B22+kiad7!F22+kiad7!J22</f>
        <v>35174</v>
      </c>
      <c r="K23" s="78">
        <f>G23+C23+kiad7!C22+kiad7!G22+kiad7!K22</f>
        <v>35174</v>
      </c>
      <c r="L23" s="78">
        <f>H23+D23+kiad7!D22+kiad7!H22+kiad7!L22</f>
        <v>18653</v>
      </c>
      <c r="M23" s="106">
        <f t="shared" si="0"/>
        <v>53.03064763745948</v>
      </c>
      <c r="N23" s="20"/>
      <c r="O23" s="20"/>
      <c r="P23" s="143"/>
      <c r="Q23" s="20"/>
      <c r="R23" s="20"/>
    </row>
    <row r="24" spans="1:18" ht="15.75">
      <c r="A24" s="38" t="s">
        <v>58</v>
      </c>
      <c r="B24" s="17"/>
      <c r="C24" s="17"/>
      <c r="D24" s="17"/>
      <c r="E24" s="18"/>
      <c r="F24" s="17">
        <v>1304</v>
      </c>
      <c r="G24" s="17">
        <f>+F24</f>
        <v>1304</v>
      </c>
      <c r="H24" s="146">
        <v>763</v>
      </c>
      <c r="I24" s="30">
        <f>H24/G24*100</f>
        <v>58.512269938650306</v>
      </c>
      <c r="J24" s="78">
        <f>F24+B24+kiad7!B23+kiad7!F23+kiad7!J23</f>
        <v>38375</v>
      </c>
      <c r="K24" s="78">
        <f>G24+C24+kiad7!C23+kiad7!G23+kiad7!K23</f>
        <v>40624</v>
      </c>
      <c r="L24" s="78">
        <f>H24+D24+kiad7!D23+kiad7!H23+kiad7!L23</f>
        <v>22947</v>
      </c>
      <c r="M24" s="106">
        <f t="shared" si="0"/>
        <v>56.486313509255616</v>
      </c>
      <c r="N24" s="20"/>
      <c r="O24" s="20"/>
      <c r="P24" s="20"/>
      <c r="Q24" s="20"/>
      <c r="R24" s="20"/>
    </row>
    <row r="25" spans="1:18" ht="15.75">
      <c r="A25" s="38" t="s">
        <v>76</v>
      </c>
      <c r="B25" s="17"/>
      <c r="C25" s="17"/>
      <c r="D25" s="9"/>
      <c r="E25" s="10"/>
      <c r="F25" s="9"/>
      <c r="G25" s="9"/>
      <c r="H25" s="148"/>
      <c r="I25" s="30"/>
      <c r="J25" s="78">
        <f>F25+B25+kiad7!B24+kiad7!F24+kiad7!J24</f>
        <v>1954</v>
      </c>
      <c r="K25" s="78">
        <f>G25+C25+kiad7!C24+kiad7!G24+kiad7!K24</f>
        <v>1954</v>
      </c>
      <c r="L25" s="78">
        <f>H25+D25+kiad7!D24+kiad7!H24+kiad7!L24</f>
        <v>1138</v>
      </c>
      <c r="M25" s="106">
        <f t="shared" si="0"/>
        <v>58.23950870010235</v>
      </c>
      <c r="N25" s="20"/>
      <c r="O25" s="20"/>
      <c r="P25" s="20"/>
      <c r="Q25" s="20"/>
      <c r="R25" s="20"/>
    </row>
    <row r="26" spans="1:18" ht="15.75">
      <c r="A26" s="67" t="s">
        <v>59</v>
      </c>
      <c r="B26" s="17"/>
      <c r="C26" s="17"/>
      <c r="D26" s="17"/>
      <c r="E26" s="18"/>
      <c r="F26" s="9"/>
      <c r="G26" s="9"/>
      <c r="H26" s="148"/>
      <c r="I26" s="30"/>
      <c r="J26" s="78">
        <f>F26+B26+kiad7!B25+kiad7!F25+kiad7!J25</f>
        <v>792</v>
      </c>
      <c r="K26" s="78">
        <f>G26+C26+kiad7!C25+kiad7!G25+kiad7!K25</f>
        <v>792</v>
      </c>
      <c r="L26" s="78">
        <f>H26+D26+kiad7!D25+kiad7!H25+kiad7!L25</f>
        <v>0</v>
      </c>
      <c r="M26" s="106">
        <f t="shared" si="0"/>
        <v>0</v>
      </c>
      <c r="N26" s="20"/>
      <c r="O26" s="20"/>
      <c r="P26" s="20"/>
      <c r="Q26" s="20"/>
      <c r="R26" s="20"/>
    </row>
    <row r="27" spans="1:18" ht="15.75">
      <c r="A27" s="38" t="s">
        <v>45</v>
      </c>
      <c r="B27" s="17"/>
      <c r="C27" s="17"/>
      <c r="D27" s="17"/>
      <c r="E27" s="18"/>
      <c r="F27" s="9"/>
      <c r="G27" s="9"/>
      <c r="H27" s="148"/>
      <c r="I27" s="30"/>
      <c r="J27" s="78">
        <f>F27+B27+kiad7!B26+kiad7!F26+kiad7!J26</f>
        <v>6803</v>
      </c>
      <c r="K27" s="78">
        <f>G27+C27+kiad7!C26+kiad7!G26+kiad7!K26</f>
        <v>7207</v>
      </c>
      <c r="L27" s="78">
        <f>H27+D27+kiad7!D26+kiad7!H26+kiad7!L26</f>
        <v>3230</v>
      </c>
      <c r="M27" s="106">
        <f t="shared" si="0"/>
        <v>44.817538504232</v>
      </c>
      <c r="N27" s="20"/>
      <c r="O27" s="20"/>
      <c r="P27" s="20"/>
      <c r="Q27" s="20"/>
      <c r="R27" s="20"/>
    </row>
    <row r="28" spans="1:18" ht="15.75">
      <c r="A28" s="38" t="s">
        <v>26</v>
      </c>
      <c r="B28" s="17"/>
      <c r="C28" s="17"/>
      <c r="D28" s="17"/>
      <c r="E28" s="18"/>
      <c r="F28" s="9"/>
      <c r="G28" s="9"/>
      <c r="H28" s="148"/>
      <c r="I28" s="30"/>
      <c r="J28" s="78">
        <f>F28+B28+kiad7!B27+kiad7!F27+kiad7!J27</f>
        <v>1502</v>
      </c>
      <c r="K28" s="78">
        <f>G28+C28+kiad7!C27+kiad7!G27+kiad7!K27</f>
        <v>1502</v>
      </c>
      <c r="L28" s="78">
        <f>H28+D28+kiad7!D27+kiad7!H27+kiad7!L27</f>
        <v>1104</v>
      </c>
      <c r="M28" s="106">
        <f t="shared" si="0"/>
        <v>73.50199733688414</v>
      </c>
      <c r="N28" s="20"/>
      <c r="O28" s="20"/>
      <c r="P28" s="20"/>
      <c r="Q28" s="20"/>
      <c r="R28" s="20"/>
    </row>
    <row r="29" spans="1:18" ht="15.75">
      <c r="A29" s="38" t="s">
        <v>108</v>
      </c>
      <c r="B29" s="17"/>
      <c r="C29" s="17"/>
      <c r="D29" s="17"/>
      <c r="E29" s="18"/>
      <c r="F29" s="9"/>
      <c r="G29" s="9"/>
      <c r="H29" s="148"/>
      <c r="I29" s="30"/>
      <c r="J29" s="78">
        <f>F29+B29+kiad7!B28+kiad7!F28+kiad7!J28</f>
        <v>6662</v>
      </c>
      <c r="K29" s="78">
        <f>G29+C29+kiad7!C28+kiad7!G28+kiad7!K28</f>
        <v>6662</v>
      </c>
      <c r="L29" s="78">
        <f>H29+D29+kiad7!D28+kiad7!H28+kiad7!L28</f>
        <v>4587</v>
      </c>
      <c r="M29" s="106">
        <f t="shared" si="0"/>
        <v>68.85319723806664</v>
      </c>
      <c r="N29" s="20"/>
      <c r="O29" s="20"/>
      <c r="P29" s="20"/>
      <c r="Q29" s="20"/>
      <c r="R29" s="20"/>
    </row>
    <row r="30" spans="1:18" s="19" customFormat="1" ht="15.75">
      <c r="A30" s="39" t="s">
        <v>60</v>
      </c>
      <c r="B30" s="54">
        <f>SUM(B20:B29)</f>
        <v>0</v>
      </c>
      <c r="C30" s="54">
        <f>SUM(C20:C29)</f>
        <v>0</v>
      </c>
      <c r="D30" s="54"/>
      <c r="E30" s="54"/>
      <c r="F30" s="54">
        <f>SUM(F20:F29)</f>
        <v>5115</v>
      </c>
      <c r="G30" s="54">
        <f>SUM(G20:G29)</f>
        <v>5115</v>
      </c>
      <c r="H30" s="152">
        <f>SUM(H20:H29)</f>
        <v>1348</v>
      </c>
      <c r="I30" s="55">
        <f>H30/G30*100</f>
        <v>26.35386119257087</v>
      </c>
      <c r="J30" s="79">
        <f>F30+B30+kiad7!B29+kiad7!F29+kiad7!J29</f>
        <v>266702</v>
      </c>
      <c r="K30" s="79">
        <f>G30+C30+kiad7!C29+kiad7!G29+kiad7!K29</f>
        <v>278865</v>
      </c>
      <c r="L30" s="79">
        <f>H30+D30+kiad7!D29+kiad7!H29+kiad7!L29</f>
        <v>136211</v>
      </c>
      <c r="M30" s="107">
        <f t="shared" si="0"/>
        <v>48.84478152511071</v>
      </c>
      <c r="N30" s="48"/>
      <c r="O30" s="48"/>
      <c r="P30" s="48"/>
      <c r="Q30" s="48"/>
      <c r="R30" s="48"/>
    </row>
    <row r="31" spans="1:18" s="19" customFormat="1" ht="15.75">
      <c r="A31" s="39" t="s">
        <v>81</v>
      </c>
      <c r="B31" s="11">
        <v>270788</v>
      </c>
      <c r="C31" s="11">
        <f>+B31</f>
        <v>270788</v>
      </c>
      <c r="D31" s="11">
        <v>9114</v>
      </c>
      <c r="E31" s="12">
        <f>+D31/C31*100</f>
        <v>3.3657326026264087</v>
      </c>
      <c r="F31" s="54"/>
      <c r="G31" s="54"/>
      <c r="H31" s="153"/>
      <c r="I31" s="55"/>
      <c r="J31" s="79">
        <f>F31+B31+kiad7!B30+kiad7!F30+kiad7!J30</f>
        <v>272825</v>
      </c>
      <c r="K31" s="79">
        <f>G31+C31+kiad7!C30+kiad7!G30+kiad7!K30</f>
        <v>276925</v>
      </c>
      <c r="L31" s="79">
        <f>H31+D31+kiad7!D30+kiad7!H30+kiad7!L30</f>
        <v>10170</v>
      </c>
      <c r="M31" s="107">
        <f t="shared" si="0"/>
        <v>3.672474496704884</v>
      </c>
      <c r="N31" s="48"/>
      <c r="O31" s="48"/>
      <c r="P31" s="48"/>
      <c r="Q31" s="48"/>
      <c r="R31" s="48"/>
    </row>
    <row r="32" spans="1:18" s="19" customFormat="1" ht="15.75">
      <c r="A32" s="39" t="s">
        <v>134</v>
      </c>
      <c r="B32" s="11"/>
      <c r="C32" s="11"/>
      <c r="D32" s="11"/>
      <c r="E32" s="68"/>
      <c r="F32" s="54"/>
      <c r="G32" s="152">
        <f>263+1362</f>
        <v>1625</v>
      </c>
      <c r="H32" s="152">
        <v>3000</v>
      </c>
      <c r="I32" s="55">
        <f>+H32/G32*100</f>
        <v>184.6153846153846</v>
      </c>
      <c r="J32" s="79"/>
      <c r="K32" s="79">
        <f>G32+C32+kiad7!C31+kiad7!G31+kiad7!K31</f>
        <v>1625</v>
      </c>
      <c r="L32" s="79">
        <f>H32+D32+kiad7!D32+kiad7!H32+kiad7!L32</f>
        <v>3000</v>
      </c>
      <c r="M32" s="107">
        <f t="shared" si="0"/>
        <v>184.6153846153846</v>
      </c>
      <c r="N32" s="48"/>
      <c r="O32" s="48"/>
      <c r="P32" s="48"/>
      <c r="Q32" s="48"/>
      <c r="R32" s="48"/>
    </row>
    <row r="33" spans="1:18" s="19" customFormat="1" ht="15.75">
      <c r="A33" s="39" t="s">
        <v>136</v>
      </c>
      <c r="B33" s="50"/>
      <c r="C33" s="50"/>
      <c r="D33" s="50"/>
      <c r="E33" s="68"/>
      <c r="F33" s="54"/>
      <c r="G33" s="54"/>
      <c r="H33" s="154">
        <v>13495</v>
      </c>
      <c r="I33" s="55"/>
      <c r="J33" s="79"/>
      <c r="K33" s="79">
        <f>G33+C33+kiad7!C32+kiad7!G32+kiad7!K32</f>
        <v>0</v>
      </c>
      <c r="L33" s="79">
        <f>H33+D33+kiad7!D32+kiad7!H32+kiad7!L32</f>
        <v>13495</v>
      </c>
      <c r="M33" s="106"/>
      <c r="N33" s="48"/>
      <c r="O33" s="48"/>
      <c r="P33" s="48"/>
      <c r="Q33" s="48"/>
      <c r="R33" s="48"/>
    </row>
    <row r="34" spans="1:18" s="19" customFormat="1" ht="20.25" customHeight="1">
      <c r="A34" s="39" t="s">
        <v>120</v>
      </c>
      <c r="B34" s="54">
        <f>B33+B31+B30+B18+B15+kiad6!B34+kiad6!B21+kiad4!B29+kiad4!B22+kiad2!B12</f>
        <v>349763</v>
      </c>
      <c r="C34" s="54">
        <f>C33+C31+C30+C18+C15+kiad6!C34+kiad6!C21+kiad4!C29+kiad4!C26+kiad4!C22+kiad2!C12</f>
        <v>361240</v>
      </c>
      <c r="D34" s="54">
        <f>D33+D31+D30+D18+D15+kiad6!D34+kiad6!D21+kiad4!D29+kiad4!D26+kiad4!D22+kiad2!D12</f>
        <v>38755</v>
      </c>
      <c r="E34" s="55">
        <f>D34/C34*100</f>
        <v>10.728324659506146</v>
      </c>
      <c r="F34" s="54">
        <f>F33+F31+F30+F18+F15+kiad6!F34+kiad6!F21+kiad4!F29+kiad4!F22+kiad2!F12+kiad4!F26+F32</f>
        <v>165914</v>
      </c>
      <c r="G34" s="54">
        <f>G33+G31+G30+G18+G15+kiad6!G34+kiad6!G21+kiad4!G29+kiad4!G22+kiad2!G12+kiad4!G26+G32</f>
        <v>188186</v>
      </c>
      <c r="H34" s="54">
        <f>H33+H31+H30+H18+H15+kiad6!H34+kiad6!H21+kiad4!H29+kiad4!H22+kiad2!H12+kiad4!H26+H32</f>
        <v>101860</v>
      </c>
      <c r="I34" s="55">
        <f>H34/G34*100</f>
        <v>54.127299586579234</v>
      </c>
      <c r="J34" s="79">
        <f>J33+J31+J30+J18+J15+kiad6!J34+kiad6!J21+kiad4!J29+kiad4!J26+kiad4!J22+kiad2!J12</f>
        <v>1381581</v>
      </c>
      <c r="K34" s="79">
        <f>K33+K31+K30+K18+K15+kiad6!K34+kiad6!K21+kiad4!K29+kiad4!K26+kiad4!K22+kiad2!K12+K32</f>
        <v>1494345</v>
      </c>
      <c r="L34" s="79">
        <f>L33+L31+L30+L18+L15+kiad6!L34+kiad6!L21+kiad4!L29+kiad4!L26+kiad4!L22+kiad2!L12+L32</f>
        <v>612106</v>
      </c>
      <c r="M34" s="107">
        <f t="shared" si="0"/>
        <v>40.96149148958239</v>
      </c>
      <c r="N34" s="48"/>
      <c r="O34" s="48"/>
      <c r="P34" s="48"/>
      <c r="Q34" s="48"/>
      <c r="R34" s="48"/>
    </row>
    <row r="35" spans="1:18" s="19" customFormat="1" ht="20.25" customHeight="1">
      <c r="A35" s="70"/>
      <c r="B35" s="136"/>
      <c r="C35" s="136"/>
      <c r="D35" s="136"/>
      <c r="E35" s="133"/>
      <c r="F35" s="136"/>
      <c r="G35" s="136"/>
      <c r="H35" s="136"/>
      <c r="I35" s="133"/>
      <c r="J35" s="137"/>
      <c r="K35" s="137"/>
      <c r="L35" s="137"/>
      <c r="M35" s="138"/>
      <c r="N35" s="48"/>
      <c r="O35" s="48"/>
      <c r="P35" s="48"/>
      <c r="Q35" s="48"/>
      <c r="R35" s="48"/>
    </row>
    <row r="36" spans="1:18" ht="15.75">
      <c r="A36" s="97"/>
      <c r="B36" s="98"/>
      <c r="C36" s="98"/>
      <c r="D36" s="99"/>
      <c r="E36" s="100"/>
      <c r="F36" s="98"/>
      <c r="G36" s="98"/>
      <c r="H36" s="98"/>
      <c r="I36" s="98"/>
      <c r="J36" s="98"/>
      <c r="K36" s="98"/>
      <c r="L36" s="99"/>
      <c r="M36" s="98"/>
      <c r="N36" s="20"/>
      <c r="O36" s="20"/>
      <c r="P36" s="20"/>
      <c r="Q36" s="20"/>
      <c r="R36" s="20"/>
    </row>
    <row r="37" spans="1:18" ht="15.75">
      <c r="A37" s="174">
        <v>8</v>
      </c>
      <c r="B37" s="174"/>
      <c r="C37" s="174"/>
      <c r="D37" s="174"/>
      <c r="E37" s="174"/>
      <c r="F37" s="174"/>
      <c r="G37" s="174"/>
      <c r="H37" s="174"/>
      <c r="I37" s="174"/>
      <c r="J37" s="174"/>
      <c r="K37" s="174"/>
      <c r="L37" s="174"/>
      <c r="M37" s="174"/>
      <c r="N37" s="20"/>
      <c r="O37" s="20"/>
      <c r="P37" s="20"/>
      <c r="Q37" s="20"/>
      <c r="R37" s="20"/>
    </row>
    <row r="38" spans="1:18" ht="15.75">
      <c r="A38" s="90"/>
      <c r="B38" s="6"/>
      <c r="C38" s="6"/>
      <c r="D38" s="6"/>
      <c r="E38" s="6"/>
      <c r="F38" s="6"/>
      <c r="G38" s="6"/>
      <c r="H38" s="6"/>
      <c r="I38" s="6"/>
      <c r="J38" s="6"/>
      <c r="K38" s="6"/>
      <c r="L38" s="149"/>
      <c r="M38" s="6"/>
      <c r="N38" s="20"/>
      <c r="O38" s="20"/>
      <c r="P38" s="20"/>
      <c r="Q38" s="20"/>
      <c r="R38" s="20"/>
    </row>
    <row r="39" spans="1:18" ht="15.75">
      <c r="A39" s="6"/>
      <c r="B39" s="6"/>
      <c r="C39" s="6"/>
      <c r="D39" s="6"/>
      <c r="E39" s="6"/>
      <c r="F39" s="6"/>
      <c r="G39" s="6"/>
      <c r="H39" s="6"/>
      <c r="I39" s="163"/>
      <c r="J39" s="6"/>
      <c r="K39" s="163"/>
      <c r="L39" s="6"/>
      <c r="M39" s="6"/>
      <c r="N39" s="20"/>
      <c r="O39" s="20"/>
      <c r="P39" s="20"/>
      <c r="Q39" s="20"/>
      <c r="R39" s="20"/>
    </row>
    <row r="40" spans="1:18" ht="15.75">
      <c r="A40" s="6"/>
      <c r="B40" s="6"/>
      <c r="C40" s="6"/>
      <c r="D40" s="6"/>
      <c r="E40" s="6"/>
      <c r="F40" s="6"/>
      <c r="G40" s="149"/>
      <c r="H40" s="149"/>
      <c r="I40" s="163"/>
      <c r="J40" s="60"/>
      <c r="K40" s="162"/>
      <c r="L40" s="60"/>
      <c r="M40" s="6"/>
      <c r="N40" s="20"/>
      <c r="O40" s="20"/>
      <c r="P40" s="20"/>
      <c r="Q40" s="20"/>
      <c r="R40" s="20"/>
    </row>
    <row r="41" spans="1:18" ht="15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20"/>
      <c r="O41" s="20"/>
      <c r="P41" s="20"/>
      <c r="Q41" s="20"/>
      <c r="R41" s="20"/>
    </row>
    <row r="42" spans="1:18" ht="15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20"/>
      <c r="O42" s="20"/>
      <c r="P42" s="20"/>
      <c r="Q42" s="20"/>
      <c r="R42" s="20"/>
    </row>
    <row r="43" spans="1:18" ht="15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</row>
    <row r="44" spans="1:18" ht="15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</row>
  </sheetData>
  <mergeCells count="16">
    <mergeCell ref="G8:G9"/>
    <mergeCell ref="A2:M2"/>
    <mergeCell ref="A3:M3"/>
    <mergeCell ref="B7:E7"/>
    <mergeCell ref="F7:I7"/>
    <mergeCell ref="J7:M7"/>
    <mergeCell ref="A37:M37"/>
    <mergeCell ref="L8:L9"/>
    <mergeCell ref="M8:M9"/>
    <mergeCell ref="H8:H9"/>
    <mergeCell ref="I8:I9"/>
    <mergeCell ref="J8:J9"/>
    <mergeCell ref="K8:K9"/>
    <mergeCell ref="A8:A9"/>
    <mergeCell ref="D8:D9"/>
    <mergeCell ref="E8:E9"/>
  </mergeCells>
  <printOptions horizontalCentered="1" verticalCentered="1"/>
  <pageMargins left="0.3937007874015748" right="0.3937007874015748" top="0.3937007874015748" bottom="0.3937007874015748" header="0.5118110236220472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Városi Önkormányzat PH Tótkomlós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Karászi Mariann</dc:creator>
  <cp:keywords/>
  <dc:description/>
  <cp:lastModifiedBy>Karászi Mariann</cp:lastModifiedBy>
  <cp:lastPrinted>2008-08-27T06:17:45Z</cp:lastPrinted>
  <dcterms:created xsi:type="dcterms:W3CDTF">2005-09-29T08:10:26Z</dcterms:created>
  <dcterms:modified xsi:type="dcterms:W3CDTF">2008-08-27T06:18:49Z</dcterms:modified>
  <cp:category/>
  <cp:version/>
  <cp:contentType/>
  <cp:contentStatus/>
</cp:coreProperties>
</file>